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OA\保険年金課\★2021\05加入係【OA】【Ｓ】\03課税\11 広報・ホームページ・LINEなど\ホームページ用試算シート\2026\"/>
    </mc:Choice>
  </mc:AlternateContent>
  <xr:revisionPtr revIDLastSave="0" documentId="13_ncr:1_{C98D5682-71BB-4B16-8111-7D17F5A48B77}" xr6:coauthVersionLast="47" xr6:coauthVersionMax="47" xr10:uidLastSave="{00000000-0000-0000-0000-000000000000}"/>
  <workbookProtection workbookAlgorithmName="SHA-512" workbookHashValue="ABVToRlkrNOkmDKUuL087wLbzSlk+mbjC17Sr0xswO8+CWTEcPQV9AdPSVyFWGMQR2RKPpK4epZXAsxPJUbY+w==" workbookSaltValue="UN1qbKHjfMBC5Ox7jX6Quw==" workbookSpinCount="100000" lockStructure="1"/>
  <bookViews>
    <workbookView xWindow="-120" yWindow="-120" windowWidth="29040" windowHeight="15720" tabRatio="891" xr2:uid="{00000000-000D-0000-FFFF-FFFF00000000}"/>
  </bookViews>
  <sheets>
    <sheet name="試算2026" sheetId="15" r:id="rId1"/>
    <sheet name="収入→所得2026" sheetId="14" r:id="rId2"/>
  </sheets>
  <definedNames>
    <definedName name="_xlnm._FilterDatabase" localSheetId="0" hidden="1">試算2026!$I$94:$R$113</definedName>
    <definedName name="_xlnm.Print_Area" localSheetId="0">試算2026!$A$1:$N$111</definedName>
    <definedName name="_xlnm.Print_Area" localSheetId="1">収入→所得2026!$A$1:$I$68</definedName>
    <definedName name="Z_A59968D9_16C2_4379_BF94_46C8DA012E4B_.wvu.PrintArea" localSheetId="0" hidden="1">試算2026!$A$1:$J$111</definedName>
    <definedName name="Z_A59968D9_16C2_4379_BF94_46C8DA012E4B_.wvu.PrintArea" localSheetId="1" hidden="1">収入→所得2026!$A$1:$H$26</definedName>
  </definedNames>
  <calcPr calcId="191029"/>
  <customWorkbookViews>
    <customWorkbookView name="町田市役所 - 個人用ビュー" guid="{A59968D9-16C2-4379-BF94-46C8DA012E4B}" mergeInterval="0" personalView="1" maximized="1" xWindow="-8" yWindow="-8" windowWidth="1296" windowHeight="96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15" l="1"/>
  <c r="D97" i="15"/>
  <c r="D98" i="15"/>
  <c r="D99" i="15"/>
  <c r="D100" i="15"/>
  <c r="L13" i="15" l="1"/>
  <c r="I8" i="15"/>
  <c r="C96" i="15"/>
  <c r="C95" i="15"/>
  <c r="F100" i="15" l="1"/>
  <c r="F99" i="15"/>
  <c r="N50" i="15"/>
  <c r="M50" i="15"/>
  <c r="N49" i="15"/>
  <c r="M49" i="15"/>
  <c r="O50" i="15"/>
  <c r="N51" i="15"/>
  <c r="N52" i="15"/>
  <c r="N53" i="15"/>
  <c r="N54" i="15"/>
  <c r="M51" i="15"/>
  <c r="O51" i="15" s="1"/>
  <c r="M52" i="15"/>
  <c r="O52" i="15" s="1"/>
  <c r="M53" i="15"/>
  <c r="O53" i="15" s="1"/>
  <c r="M54" i="15"/>
  <c r="O54" i="15" s="1"/>
  <c r="O49" i="15" l="1"/>
  <c r="D95" i="15" s="1"/>
  <c r="L125" i="15" l="1"/>
  <c r="L124" i="15"/>
  <c r="L123" i="15"/>
  <c r="L122" i="15"/>
  <c r="L121" i="15"/>
  <c r="L120" i="15"/>
  <c r="L119" i="15"/>
  <c r="L118" i="15"/>
  <c r="L117" i="15"/>
  <c r="C100" i="15"/>
  <c r="B100" i="15"/>
  <c r="C99" i="15"/>
  <c r="B99" i="15"/>
  <c r="C98" i="15"/>
  <c r="B98" i="15"/>
  <c r="C97" i="15"/>
  <c r="B97" i="15"/>
  <c r="B96" i="15"/>
  <c r="B95" i="15"/>
  <c r="B93" i="15"/>
  <c r="B92" i="15"/>
  <c r="B91" i="15"/>
  <c r="B90" i="15"/>
  <c r="B89" i="15"/>
  <c r="D88" i="15"/>
  <c r="B88" i="15"/>
  <c r="B83" i="15"/>
  <c r="C82" i="15"/>
  <c r="B82" i="15"/>
  <c r="C81" i="15"/>
  <c r="B81" i="15"/>
  <c r="C80" i="15"/>
  <c r="B80" i="15"/>
  <c r="C79" i="15"/>
  <c r="B79" i="15"/>
  <c r="B78" i="15"/>
  <c r="D77" i="15"/>
  <c r="B77" i="15"/>
  <c r="C72" i="15"/>
  <c r="B72" i="15"/>
  <c r="F71" i="15"/>
  <c r="C71" i="15"/>
  <c r="B71" i="15"/>
  <c r="C70" i="15"/>
  <c r="B70" i="15"/>
  <c r="C69" i="15"/>
  <c r="B69" i="15"/>
  <c r="C68" i="15"/>
  <c r="B68" i="15"/>
  <c r="C67" i="15"/>
  <c r="B67" i="15"/>
  <c r="B65" i="15"/>
  <c r="B64" i="15"/>
  <c r="B63" i="15"/>
  <c r="B62" i="15"/>
  <c r="B61" i="15"/>
  <c r="D60" i="15"/>
  <c r="B60" i="15"/>
  <c r="C54" i="15"/>
  <c r="B54" i="15"/>
  <c r="F53" i="15"/>
  <c r="C53" i="15"/>
  <c r="B53" i="15"/>
  <c r="C52" i="15"/>
  <c r="B52" i="15"/>
  <c r="C51" i="15"/>
  <c r="B51" i="15"/>
  <c r="C50" i="15"/>
  <c r="B50" i="15"/>
  <c r="C49" i="15"/>
  <c r="B49" i="15"/>
  <c r="B47" i="15"/>
  <c r="B46" i="15"/>
  <c r="B45" i="15"/>
  <c r="B44" i="15"/>
  <c r="B43" i="15"/>
  <c r="D42" i="15"/>
  <c r="B42" i="15"/>
  <c r="C35" i="15"/>
  <c r="C34" i="15"/>
  <c r="J28" i="15"/>
  <c r="E28" i="15"/>
  <c r="D27" i="15"/>
  <c r="E27" i="15" s="1"/>
  <c r="P17" i="15"/>
  <c r="P15" i="15"/>
  <c r="Q17" i="15" s="1"/>
  <c r="R14" i="15"/>
  <c r="M13" i="15"/>
  <c r="I13" i="15"/>
  <c r="N12" i="15"/>
  <c r="M12" i="15"/>
  <c r="I12" i="15"/>
  <c r="N11" i="15"/>
  <c r="M11" i="15"/>
  <c r="I11" i="15"/>
  <c r="M10" i="15"/>
  <c r="I10" i="15"/>
  <c r="M9" i="15"/>
  <c r="I9" i="15"/>
  <c r="M8" i="15"/>
  <c r="M7" i="15"/>
  <c r="I7" i="15"/>
  <c r="N7" i="15" l="1"/>
  <c r="L7" i="15" s="1"/>
  <c r="J7" i="15"/>
  <c r="K7" i="15" s="1"/>
  <c r="C77" i="15" s="1"/>
  <c r="G77" i="15" s="1"/>
  <c r="N8" i="15"/>
  <c r="L8" i="15"/>
  <c r="J8" i="15"/>
  <c r="K8" i="15" s="1"/>
  <c r="N9" i="15"/>
  <c r="L9" i="15"/>
  <c r="J9" i="15"/>
  <c r="K9" i="15" s="1"/>
  <c r="N10" i="15"/>
  <c r="L10" i="15"/>
  <c r="J10" i="15"/>
  <c r="K10" i="15" s="1"/>
  <c r="L11" i="15"/>
  <c r="J11" i="15"/>
  <c r="K11" i="15" s="1"/>
  <c r="L12" i="15"/>
  <c r="J12" i="15"/>
  <c r="K12" i="15" s="1"/>
  <c r="R17" i="15"/>
  <c r="S17" i="15" s="1"/>
  <c r="G35" i="15"/>
  <c r="G34" i="15"/>
  <c r="I27" i="15"/>
  <c r="G79" i="15"/>
  <c r="G80" i="15"/>
  <c r="G81" i="15"/>
  <c r="G82" i="15"/>
  <c r="E6" i="14"/>
  <c r="E5" i="14"/>
  <c r="E67" i="14"/>
  <c r="D67" i="14"/>
  <c r="E66" i="14"/>
  <c r="D66" i="14"/>
  <c r="E65" i="14"/>
  <c r="D65" i="14"/>
  <c r="E64" i="14"/>
  <c r="D64" i="14"/>
  <c r="E63" i="14"/>
  <c r="D63" i="14"/>
  <c r="E62" i="14"/>
  <c r="D62" i="14"/>
  <c r="B65" i="14" s="1"/>
  <c r="E58" i="14"/>
  <c r="D58" i="14"/>
  <c r="E57" i="14"/>
  <c r="D57" i="14"/>
  <c r="E56" i="14"/>
  <c r="D56" i="14"/>
  <c r="E55" i="14"/>
  <c r="D55" i="14"/>
  <c r="E54" i="14"/>
  <c r="D54" i="14"/>
  <c r="E53" i="14"/>
  <c r="D53" i="14"/>
  <c r="B55" i="14" s="1"/>
  <c r="E47" i="14"/>
  <c r="D47" i="14"/>
  <c r="E46" i="14"/>
  <c r="D46" i="14"/>
  <c r="E45" i="14"/>
  <c r="D45" i="14"/>
  <c r="E44" i="14"/>
  <c r="D44" i="14"/>
  <c r="E43" i="14"/>
  <c r="D43" i="14"/>
  <c r="E42" i="14"/>
  <c r="D42" i="14"/>
  <c r="B44" i="14" s="1"/>
  <c r="E38" i="14"/>
  <c r="D38" i="14"/>
  <c r="E37" i="14"/>
  <c r="D37" i="14"/>
  <c r="E36" i="14"/>
  <c r="D36" i="14"/>
  <c r="E35" i="14"/>
  <c r="D35" i="14"/>
  <c r="E34" i="14"/>
  <c r="D34" i="14"/>
  <c r="E33" i="14"/>
  <c r="D33" i="14"/>
  <c r="B35" i="14" s="1"/>
  <c r="E27" i="14"/>
  <c r="D27" i="14"/>
  <c r="E26" i="14"/>
  <c r="D26" i="14"/>
  <c r="E25" i="14"/>
  <c r="D25" i="14"/>
  <c r="E24" i="14"/>
  <c r="D24" i="14"/>
  <c r="E23" i="14"/>
  <c r="D23" i="14"/>
  <c r="E22" i="14"/>
  <c r="D22" i="14"/>
  <c r="B25" i="14" s="1"/>
  <c r="E18" i="14"/>
  <c r="D18" i="14"/>
  <c r="E17" i="14"/>
  <c r="D17" i="14"/>
  <c r="E16" i="14"/>
  <c r="D16" i="14"/>
  <c r="E15" i="14"/>
  <c r="D15" i="14"/>
  <c r="E14" i="14"/>
  <c r="D14" i="14"/>
  <c r="E13" i="14"/>
  <c r="D13" i="14"/>
  <c r="B16" i="14" s="1"/>
  <c r="E8" i="14"/>
  <c r="D8" i="14"/>
  <c r="E7" i="14"/>
  <c r="D7" i="14"/>
  <c r="D6" i="14"/>
  <c r="D5" i="14"/>
  <c r="E4" i="14"/>
  <c r="D4" i="14"/>
  <c r="E3" i="14"/>
  <c r="D3" i="14"/>
  <c r="B6" i="14" s="1"/>
  <c r="A37" i="15" l="1"/>
  <c r="G33" i="15"/>
  <c r="C93" i="15"/>
  <c r="G93" i="15" s="1"/>
  <c r="C65" i="15"/>
  <c r="G65" i="15" s="1"/>
  <c r="C47" i="15"/>
  <c r="G47" i="15" s="1"/>
  <c r="C92" i="15"/>
  <c r="G92" i="15" s="1"/>
  <c r="C64" i="15"/>
  <c r="G64" i="15" s="1"/>
  <c r="C46" i="15"/>
  <c r="G46" i="15" s="1"/>
  <c r="C91" i="15"/>
  <c r="G91" i="15" s="1"/>
  <c r="C63" i="15"/>
  <c r="G63" i="15" s="1"/>
  <c r="C45" i="15"/>
  <c r="G45" i="15" s="1"/>
  <c r="C90" i="15"/>
  <c r="G90" i="15" s="1"/>
  <c r="C62" i="15"/>
  <c r="G62" i="15" s="1"/>
  <c r="C44" i="15"/>
  <c r="G44" i="15" s="1"/>
  <c r="C89" i="15"/>
  <c r="G89" i="15" s="1"/>
  <c r="C78" i="15"/>
  <c r="G78" i="15" s="1"/>
  <c r="C61" i="15"/>
  <c r="G61" i="15" s="1"/>
  <c r="C43" i="15"/>
  <c r="G43" i="15" s="1"/>
  <c r="C88" i="15"/>
  <c r="G88" i="15" s="1"/>
  <c r="C60" i="15"/>
  <c r="G60" i="15" s="1"/>
  <c r="C42" i="15"/>
  <c r="G42" i="15" s="1"/>
  <c r="L14" i="15"/>
  <c r="H33" i="15" s="1"/>
  <c r="J33" i="15" s="1"/>
  <c r="J34" i="15" l="1"/>
  <c r="J35" i="15" l="1"/>
  <c r="E38" i="15" l="1"/>
  <c r="J36" i="15"/>
  <c r="E95" i="15" l="1"/>
  <c r="E96" i="15"/>
  <c r="E97" i="15"/>
  <c r="E98" i="15"/>
  <c r="E99" i="15"/>
  <c r="E100" i="15"/>
  <c r="F96" i="15"/>
  <c r="F97" i="15"/>
  <c r="F98" i="15"/>
  <c r="G83" i="15"/>
  <c r="G84" i="15" s="1"/>
  <c r="K84" i="15" s="1"/>
  <c r="D49" i="15"/>
  <c r="D50" i="15"/>
  <c r="D51" i="15"/>
  <c r="D52" i="15"/>
  <c r="D53" i="15"/>
  <c r="G53" i="15" s="1"/>
  <c r="D54" i="15"/>
  <c r="D67" i="15"/>
  <c r="D68" i="15"/>
  <c r="D69" i="15"/>
  <c r="D70" i="15"/>
  <c r="D71" i="15"/>
  <c r="G71" i="15" s="1"/>
  <c r="D72" i="15"/>
  <c r="F68" i="15" l="1"/>
  <c r="G68" i="15" s="1"/>
  <c r="F50" i="15"/>
  <c r="G50" i="15" s="1"/>
  <c r="F70" i="15"/>
  <c r="G70" i="15" s="1"/>
  <c r="F52" i="15"/>
  <c r="G52" i="15" s="1"/>
  <c r="F69" i="15"/>
  <c r="G69" i="15" s="1"/>
  <c r="F51" i="15"/>
  <c r="G51" i="15" s="1"/>
  <c r="G100" i="15"/>
  <c r="H100" i="15"/>
  <c r="G99" i="15"/>
  <c r="H99" i="15"/>
  <c r="G98" i="15"/>
  <c r="H98" i="15"/>
  <c r="G97" i="15"/>
  <c r="H97" i="15" s="1"/>
  <c r="G96" i="15"/>
  <c r="H96" i="15" s="1"/>
  <c r="F67" i="15"/>
  <c r="G67" i="15" s="1"/>
  <c r="F49" i="15"/>
  <c r="G49" i="15" s="1"/>
  <c r="F95" i="15"/>
  <c r="F72" i="15"/>
  <c r="G72" i="15" s="1"/>
  <c r="G73" i="15" s="1"/>
  <c r="K73" i="15" s="1"/>
  <c r="F54" i="15"/>
  <c r="G54" i="15" s="1"/>
  <c r="G55" i="15" s="1"/>
  <c r="K55" i="15" s="1"/>
  <c r="G95" i="15" l="1"/>
  <c r="H95" i="15"/>
  <c r="G101" i="15" s="1"/>
  <c r="K101" i="15" s="1"/>
  <c r="K105" i="15" l="1"/>
  <c r="K108" i="15" s="1"/>
  <c r="V125" i="15" l="1"/>
  <c r="U124" i="15"/>
  <c r="U123" i="15"/>
  <c r="T123" i="15"/>
  <c r="U122" i="15"/>
  <c r="T122" i="15"/>
  <c r="S122" i="15"/>
  <c r="U121" i="15"/>
  <c r="T121" i="15"/>
  <c r="S121" i="15"/>
  <c r="R121" i="15"/>
  <c r="U120" i="15"/>
  <c r="T120" i="15"/>
  <c r="S120" i="15"/>
  <c r="R120" i="15"/>
  <c r="Q120" i="15"/>
  <c r="U119" i="15"/>
  <c r="T119" i="15"/>
  <c r="S119" i="15"/>
  <c r="R119" i="15"/>
  <c r="Q119" i="15"/>
  <c r="P119" i="15"/>
  <c r="U118" i="15"/>
  <c r="T118" i="15"/>
  <c r="S118" i="15"/>
  <c r="R118" i="15"/>
  <c r="Q118" i="15"/>
  <c r="P118" i="15"/>
  <c r="O118" i="15"/>
  <c r="U117" i="15"/>
  <c r="T117" i="15"/>
  <c r="S117" i="15"/>
  <c r="R117" i="15"/>
  <c r="Q117" i="15"/>
  <c r="P117" i="15"/>
  <c r="O117" i="15"/>
  <c r="N117" i="15"/>
  <c r="O105" i="15"/>
  <c r="M10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F6" authorId="0" shapeId="0" xr:uid="{C4412719-5F0A-4B0D-9475-4673798A17BC}">
      <text>
        <r>
          <rPr>
            <b/>
            <sz val="9"/>
            <color indexed="81"/>
            <rFont val="ＭＳ Ｐゴシック"/>
            <family val="3"/>
            <charset val="128"/>
          </rPr>
          <t>給与・年金所得について、収入金額から所得金額を求めるには、リンク先のシートをご活用ください。</t>
        </r>
      </text>
    </comment>
  </commentList>
</comments>
</file>

<file path=xl/sharedStrings.xml><?xml version="1.0" encoding="utf-8"?>
<sst xmlns="http://schemas.openxmlformats.org/spreadsheetml/2006/main" count="397" uniqueCount="213">
  <si>
    <t>●加入者・世帯主の所得状況</t>
    <rPh sb="1" eb="4">
      <t>カニュウシャ</t>
    </rPh>
    <rPh sb="5" eb="8">
      <t>セタイヌシ</t>
    </rPh>
    <rPh sb="9" eb="11">
      <t>ショトク</t>
    </rPh>
    <rPh sb="11" eb="13">
      <t>ジョウキョウ</t>
    </rPh>
    <phoneticPr fontId="1"/>
  </si>
  <si>
    <t>世帯</t>
    <rPh sb="0" eb="2">
      <t>セタイ</t>
    </rPh>
    <phoneticPr fontId="1"/>
  </si>
  <si>
    <t>年金所得</t>
    <rPh sb="0" eb="2">
      <t>ネンキン</t>
    </rPh>
    <rPh sb="2" eb="4">
      <t>ショトク</t>
    </rPh>
    <phoneticPr fontId="1"/>
  </si>
  <si>
    <t>給与・年金
以外の所得</t>
    <rPh sb="0" eb="2">
      <t>キュウヨ</t>
    </rPh>
    <rPh sb="3" eb="5">
      <t>ネンキン</t>
    </rPh>
    <rPh sb="6" eb="8">
      <t>イガイ</t>
    </rPh>
    <rPh sb="9" eb="11">
      <t>ショトク</t>
    </rPh>
    <phoneticPr fontId="1"/>
  </si>
  <si>
    <t>所得計</t>
    <rPh sb="0" eb="2">
      <t>ショトク</t>
    </rPh>
    <rPh sb="2" eb="3">
      <t>ケイ</t>
    </rPh>
    <phoneticPr fontId="1"/>
  </si>
  <si>
    <t>基礎控除</t>
    <rPh sb="0" eb="2">
      <t>キソ</t>
    </rPh>
    <rPh sb="2" eb="4">
      <t>コウジョ</t>
    </rPh>
    <phoneticPr fontId="1"/>
  </si>
  <si>
    <r>
      <t xml:space="preserve">所得割基準
</t>
    </r>
    <r>
      <rPr>
        <sz val="6"/>
        <rFont val="HG創英角ｺﾞｼｯｸUB"/>
        <family val="3"/>
        <charset val="128"/>
      </rPr>
      <t>（所得計-基礎控除）</t>
    </r>
    <rPh sb="0" eb="2">
      <t>ショトク</t>
    </rPh>
    <rPh sb="2" eb="3">
      <t>ワ</t>
    </rPh>
    <rPh sb="3" eb="5">
      <t>キジュン</t>
    </rPh>
    <rPh sb="7" eb="9">
      <t>ショトク</t>
    </rPh>
    <rPh sb="9" eb="10">
      <t>ケイ</t>
    </rPh>
    <rPh sb="11" eb="13">
      <t>キソ</t>
    </rPh>
    <rPh sb="13" eb="15">
      <t>コウジョ</t>
    </rPh>
    <phoneticPr fontId="1"/>
  </si>
  <si>
    <t>65歳以上
年金考慮</t>
    <rPh sb="2" eb="3">
      <t>サイ</t>
    </rPh>
    <rPh sb="3" eb="5">
      <t>イジョウ</t>
    </rPh>
    <rPh sb="6" eb="8">
      <t>ネンキン</t>
    </rPh>
    <rPh sb="8" eb="10">
      <t>コウリョ</t>
    </rPh>
    <phoneticPr fontId="1"/>
  </si>
  <si>
    <t xml:space="preserve">  　　　　　　　　　入力規則設定用リスト</t>
    <rPh sb="11" eb="13">
      <t>ニュウリョク</t>
    </rPh>
    <rPh sb="13" eb="15">
      <t>キソク</t>
    </rPh>
    <rPh sb="15" eb="17">
      <t>セッテイ</t>
    </rPh>
    <rPh sb="17" eb="18">
      <t>ヨウ</t>
    </rPh>
    <phoneticPr fontId="1"/>
  </si>
  <si>
    <t>軽減該当</t>
    <rPh sb="2" eb="4">
      <t>ガイトウ</t>
    </rPh>
    <phoneticPr fontId="1"/>
  </si>
  <si>
    <t>介護該当</t>
    <rPh sb="0" eb="2">
      <t>カイゴ</t>
    </rPh>
    <rPh sb="2" eb="4">
      <t>ガイトウ</t>
    </rPh>
    <phoneticPr fontId="1"/>
  </si>
  <si>
    <t>軽減該当</t>
    <rPh sb="0" eb="2">
      <t>ケイゲン</t>
    </rPh>
    <rPh sb="2" eb="4">
      <t>ガイトウ</t>
    </rPh>
    <phoneticPr fontId="1"/>
  </si>
  <si>
    <t>世帯員</t>
    <rPh sb="0" eb="3">
      <t>セタイイン</t>
    </rPh>
    <phoneticPr fontId="1"/>
  </si>
  <si>
    <t>世帯主が加入者</t>
    <rPh sb="0" eb="3">
      <t>セタイヌシ</t>
    </rPh>
    <rPh sb="4" eb="7">
      <t>カニュウシャ</t>
    </rPh>
    <phoneticPr fontId="1"/>
  </si>
  <si>
    <t>加入者２</t>
    <rPh sb="0" eb="3">
      <t>カニュウシャ</t>
    </rPh>
    <phoneticPr fontId="1"/>
  </si>
  <si>
    <t>加入者３</t>
    <rPh sb="0" eb="3">
      <t>カニュウシャ</t>
    </rPh>
    <phoneticPr fontId="1"/>
  </si>
  <si>
    <t>加入者４</t>
    <rPh sb="0" eb="3">
      <t>カニュウシャ</t>
    </rPh>
    <phoneticPr fontId="1"/>
  </si>
  <si>
    <t>加入者５</t>
    <rPh sb="0" eb="3">
      <t>カニュウシャ</t>
    </rPh>
    <phoneticPr fontId="1"/>
  </si>
  <si>
    <t>擬制世帯主</t>
    <rPh sb="0" eb="1">
      <t>ギ</t>
    </rPh>
    <rPh sb="1" eb="2">
      <t>セイ</t>
    </rPh>
    <rPh sb="2" eb="5">
      <t>セタイヌシ</t>
    </rPh>
    <phoneticPr fontId="1"/>
  </si>
  <si>
    <t>軽減判定所得の合計→</t>
    <rPh sb="0" eb="2">
      <t>ケイゲン</t>
    </rPh>
    <rPh sb="2" eb="4">
      <t>ハンテイ</t>
    </rPh>
    <rPh sb="4" eb="6">
      <t>ショトク</t>
    </rPh>
    <rPh sb="7" eb="9">
      <t>ゴウケイ</t>
    </rPh>
    <phoneticPr fontId="1"/>
  </si>
  <si>
    <t>　　を引いたものを年金所得として所得を合計した金額です。</t>
    <rPh sb="23" eb="25">
      <t>キンガク</t>
    </rPh>
    <phoneticPr fontId="1"/>
  </si>
  <si>
    <t>　あなたの世帯の加入者数は</t>
    <rPh sb="5" eb="7">
      <t>セタイ</t>
    </rPh>
    <rPh sb="8" eb="11">
      <t>カニュウシャ</t>
    </rPh>
    <rPh sb="11" eb="12">
      <t>スウ</t>
    </rPh>
    <phoneticPr fontId="1"/>
  </si>
  <si>
    <t>　あなたの世帯の40歳～64歳加入者数は</t>
    <rPh sb="5" eb="7">
      <t>セタイ</t>
    </rPh>
    <rPh sb="10" eb="11">
      <t>サイ</t>
    </rPh>
    <rPh sb="14" eb="15">
      <t>サイ</t>
    </rPh>
    <rPh sb="15" eb="18">
      <t>カニュウシャ</t>
    </rPh>
    <rPh sb="18" eb="19">
      <t>スウ</t>
    </rPh>
    <phoneticPr fontId="1"/>
  </si>
  <si>
    <t>軽減区分</t>
    <rPh sb="0" eb="2">
      <t>ケイゲン</t>
    </rPh>
    <rPh sb="2" eb="4">
      <t>クブン</t>
    </rPh>
    <phoneticPr fontId="1"/>
  </si>
  <si>
    <t>基準の計算式</t>
    <rPh sb="0" eb="2">
      <t>キジュン</t>
    </rPh>
    <rPh sb="3" eb="5">
      <t>ケイサン</t>
    </rPh>
    <rPh sb="5" eb="6">
      <t>シキ</t>
    </rPh>
    <phoneticPr fontId="1"/>
  </si>
  <si>
    <t>　基準額</t>
    <rPh sb="1" eb="3">
      <t>キジュン</t>
    </rPh>
    <rPh sb="3" eb="4">
      <t>ガク</t>
    </rPh>
    <phoneticPr fontId="1"/>
  </si>
  <si>
    <t>軽減判定所得の合計</t>
    <rPh sb="0" eb="2">
      <t>ケイゲン</t>
    </rPh>
    <rPh sb="2" eb="4">
      <t>ハンテイ</t>
    </rPh>
    <rPh sb="4" eb="6">
      <t>ショトク</t>
    </rPh>
    <rPh sb="7" eb="9">
      <t>ゴウケイ</t>
    </rPh>
    <phoneticPr fontId="1"/>
  </si>
  <si>
    <r>
      <t xml:space="preserve">該当
</t>
    </r>
    <r>
      <rPr>
        <sz val="8"/>
        <rFont val="HG創英角ｺﾞｼｯｸUB"/>
        <family val="3"/>
        <charset val="128"/>
      </rPr>
      <t>（○か×）</t>
    </r>
    <rPh sb="0" eb="2">
      <t>ガイトウ</t>
    </rPh>
    <phoneticPr fontId="1"/>
  </si>
  <si>
    <t>７割（軽減率0.7）</t>
    <rPh sb="1" eb="2">
      <t>ワリ</t>
    </rPh>
    <rPh sb="3" eb="5">
      <t>ケイゲン</t>
    </rPh>
    <rPh sb="5" eb="6">
      <t>リツ</t>
    </rPh>
    <phoneticPr fontId="1"/>
  </si>
  <si>
    <t>５割（軽減率0.5）</t>
    <rPh sb="1" eb="2">
      <t>ワリ</t>
    </rPh>
    <rPh sb="3" eb="5">
      <t>ケイゲン</t>
    </rPh>
    <rPh sb="5" eb="6">
      <t>リツ</t>
    </rPh>
    <phoneticPr fontId="1"/>
  </si>
  <si>
    <t>２割（軽減率0.2）</t>
    <rPh sb="1" eb="2">
      <t>ワリ</t>
    </rPh>
    <phoneticPr fontId="1"/>
  </si>
  <si>
    <t>軽減なし</t>
    <rPh sb="0" eb="2">
      <t>ケイゲン</t>
    </rPh>
    <phoneticPr fontId="1"/>
  </si>
  <si>
    <t>　　　　あなたの世帯の（１－軽減率）は</t>
    <rPh sb="8" eb="10">
      <t>セタイ</t>
    </rPh>
    <rPh sb="14" eb="16">
      <t>ケイゲン</t>
    </rPh>
    <rPh sb="16" eb="17">
      <t>リツ</t>
    </rPh>
    <phoneticPr fontId="1"/>
  </si>
  <si>
    <t>●金額の計算</t>
    <rPh sb="1" eb="3">
      <t>キンガク</t>
    </rPh>
    <rPh sb="4" eb="6">
      <t>ケイサン</t>
    </rPh>
    <phoneticPr fontId="1"/>
  </si>
  <si>
    <t>①医療分を計算します</t>
    <rPh sb="1" eb="3">
      <t>イリョウ</t>
    </rPh>
    <rPh sb="3" eb="4">
      <t>ブン</t>
    </rPh>
    <rPh sb="5" eb="7">
      <t>ケイサン</t>
    </rPh>
    <phoneticPr fontId="1"/>
  </si>
  <si>
    <t>所得割</t>
    <rPh sb="0" eb="2">
      <t>ショトク</t>
    </rPh>
    <rPh sb="2" eb="3">
      <t>ワリ</t>
    </rPh>
    <phoneticPr fontId="1"/>
  </si>
  <si>
    <t>加入者</t>
    <rPh sb="0" eb="3">
      <t>カニュウシャ</t>
    </rPh>
    <phoneticPr fontId="1"/>
  </si>
  <si>
    <t>所得割基準</t>
    <rPh sb="0" eb="2">
      <t>ショトク</t>
    </rPh>
    <rPh sb="2" eb="3">
      <t>ワリ</t>
    </rPh>
    <rPh sb="3" eb="5">
      <t>キジュン</t>
    </rPh>
    <phoneticPr fontId="1"/>
  </si>
  <si>
    <t>税率</t>
    <rPh sb="0" eb="2">
      <t>ゼイリツ</t>
    </rPh>
    <phoneticPr fontId="1"/>
  </si>
  <si>
    <t>加入者ごとの
所得割基準×税率
を計算します</t>
    <rPh sb="0" eb="3">
      <t>カニュウシャ</t>
    </rPh>
    <rPh sb="13" eb="15">
      <t>ゼイリツ</t>
    </rPh>
    <rPh sb="17" eb="19">
      <t>ケイサン</t>
    </rPh>
    <phoneticPr fontId="1"/>
  </si>
  <si>
    <t>金額</t>
    <rPh sb="0" eb="2">
      <t>キンガク</t>
    </rPh>
    <phoneticPr fontId="1"/>
  </si>
  <si>
    <t>均等割</t>
    <rPh sb="0" eb="2">
      <t>キントウ</t>
    </rPh>
    <rPh sb="2" eb="3">
      <t>ワ</t>
    </rPh>
    <phoneticPr fontId="1"/>
  </si>
  <si>
    <t>②後期高齢者支援分を計算します</t>
    <rPh sb="1" eb="3">
      <t>コウキ</t>
    </rPh>
    <rPh sb="3" eb="6">
      <t>コウレイシャ</t>
    </rPh>
    <rPh sb="6" eb="8">
      <t>シエン</t>
    </rPh>
    <rPh sb="8" eb="9">
      <t>ブン</t>
    </rPh>
    <phoneticPr fontId="1"/>
  </si>
  <si>
    <t>③介護保険分（40歳～64歳の加入者が対象）を計算します</t>
    <rPh sb="1" eb="3">
      <t>カイゴ</t>
    </rPh>
    <rPh sb="3" eb="5">
      <t>ホケン</t>
    </rPh>
    <rPh sb="5" eb="6">
      <t>ブン</t>
    </rPh>
    <rPh sb="9" eb="10">
      <t>サイ</t>
    </rPh>
    <rPh sb="13" eb="14">
      <t>サイ</t>
    </rPh>
    <rPh sb="15" eb="18">
      <t>カニュウシャ</t>
    </rPh>
    <rPh sb="19" eb="21">
      <t>タイショウ</t>
    </rPh>
    <phoneticPr fontId="1"/>
  </si>
  <si>
    <t>収入金額</t>
    <rPh sb="0" eb="2">
      <t>シュウニュウ</t>
    </rPh>
    <rPh sb="2" eb="4">
      <t>キンガク</t>
    </rPh>
    <phoneticPr fontId="1"/>
  </si>
  <si>
    <t>所得金額</t>
    <rPh sb="0" eb="2">
      <t>ショトク</t>
    </rPh>
    <rPh sb="2" eb="4">
      <t>キンガク</t>
    </rPh>
    <phoneticPr fontId="1"/>
  </si>
  <si>
    <t>○</t>
    <phoneticPr fontId="1"/>
  </si>
  <si>
    <t>×</t>
    <phoneticPr fontId="1"/>
  </si>
  <si>
    <t>　※0.3・0.5・0.8・1のいずれかとなります。</t>
    <phoneticPr fontId="1"/>
  </si>
  <si>
    <t>　　①医療分税額</t>
    <phoneticPr fontId="1"/>
  </si>
  <si>
    <t>→</t>
    <phoneticPr fontId="1"/>
  </si>
  <si>
    <t>　　②後期高齢者支援分税額</t>
    <phoneticPr fontId="1"/>
  </si>
  <si>
    <t>均等割</t>
    <rPh sb="0" eb="3">
      <t>キントウワ</t>
    </rPh>
    <phoneticPr fontId="1"/>
  </si>
  <si>
    <t>5割軽減基準</t>
    <rPh sb="1" eb="2">
      <t>ワリ</t>
    </rPh>
    <rPh sb="2" eb="4">
      <t>ケイゲン</t>
    </rPh>
    <rPh sb="4" eb="6">
      <t>キジュン</t>
    </rPh>
    <phoneticPr fontId="1"/>
  </si>
  <si>
    <t>2割軽減基準</t>
    <rPh sb="1" eb="2">
      <t>ワリ</t>
    </rPh>
    <rPh sb="2" eb="4">
      <t>ケイゲン</t>
    </rPh>
    <rPh sb="4" eb="6">
      <t>キジュン</t>
    </rPh>
    <phoneticPr fontId="1"/>
  </si>
  <si>
    <t>医療分</t>
    <rPh sb="0" eb="2">
      <t>イリョウ</t>
    </rPh>
    <rPh sb="2" eb="3">
      <t>ブン</t>
    </rPh>
    <phoneticPr fontId="1"/>
  </si>
  <si>
    <t>限度額</t>
    <rPh sb="0" eb="2">
      <t>ゲンド</t>
    </rPh>
    <rPh sb="2" eb="3">
      <t>ガク</t>
    </rPh>
    <phoneticPr fontId="1"/>
  </si>
  <si>
    <t>後期支援分</t>
    <rPh sb="0" eb="2">
      <t>コウキ</t>
    </rPh>
    <rPh sb="2" eb="4">
      <t>シエン</t>
    </rPh>
    <rPh sb="4" eb="5">
      <t>ブン</t>
    </rPh>
    <phoneticPr fontId="1"/>
  </si>
  <si>
    <t>介護分</t>
    <rPh sb="0" eb="2">
      <t>カイゴ</t>
    </rPh>
    <rPh sb="2" eb="3">
      <t>ブン</t>
    </rPh>
    <phoneticPr fontId="1"/>
  </si>
  <si>
    <t>●世帯の所得による軽減該当の確認</t>
    <rPh sb="1" eb="3">
      <t>セタイ</t>
    </rPh>
    <rPh sb="4" eb="6">
      <t>ショトク</t>
    </rPh>
    <rPh sb="9" eb="11">
      <t>ケイゲン</t>
    </rPh>
    <rPh sb="11" eb="13">
      <t>ガイトウ</t>
    </rPh>
    <rPh sb="14" eb="16">
      <t>カクニン</t>
    </rPh>
    <phoneticPr fontId="1"/>
  </si>
  <si>
    <t>　　所得割・均等割の合計</t>
    <rPh sb="6" eb="9">
      <t>キントウワ</t>
    </rPh>
    <rPh sb="10" eb="12">
      <t>ゴウケイ</t>
    </rPh>
    <phoneticPr fontId="1"/>
  </si>
  <si>
    <t>加入者６</t>
    <rPh sb="0" eb="3">
      <t>カニュウシャ</t>
    </rPh>
    <phoneticPr fontId="1"/>
  </si>
  <si>
    <t>←小数点切り捨て</t>
    <rPh sb="1" eb="4">
      <t>ショウスウテン</t>
    </rPh>
    <rPh sb="4" eb="5">
      <t>キ</t>
    </rPh>
    <rPh sb="6" eb="7">
      <t>ス</t>
    </rPh>
    <phoneticPr fontId="1"/>
  </si>
  <si>
    <r>
      <t>　軽減判定所得の合計（擬制世帯主も含まれます）が基準以下の場合には</t>
    </r>
    <r>
      <rPr>
        <b/>
        <sz val="10"/>
        <rFont val="HG創英角ｺﾞｼｯｸUB"/>
        <family val="3"/>
        <charset val="128"/>
      </rPr>
      <t>均等割</t>
    </r>
    <r>
      <rPr>
        <sz val="10"/>
        <rFont val="HG創英角ｺﾞｼｯｸUB"/>
        <family val="3"/>
        <charset val="128"/>
      </rPr>
      <t>が軽減されます。</t>
    </r>
    <rPh sb="1" eb="3">
      <t>ケイゲン</t>
    </rPh>
    <rPh sb="3" eb="5">
      <t>ハンテイ</t>
    </rPh>
    <rPh sb="5" eb="7">
      <t>ショトク</t>
    </rPh>
    <rPh sb="8" eb="10">
      <t>ゴウケイ</t>
    </rPh>
    <rPh sb="11" eb="12">
      <t>ギ</t>
    </rPh>
    <rPh sb="24" eb="26">
      <t>キジュン</t>
    </rPh>
    <rPh sb="26" eb="28">
      <t>イカ</t>
    </rPh>
    <rPh sb="29" eb="31">
      <t>バアイ</t>
    </rPh>
    <rPh sb="33" eb="35">
      <t>キントウ</t>
    </rPh>
    <rPh sb="35" eb="36">
      <t>ワ</t>
    </rPh>
    <rPh sb="37" eb="39">
      <t>ケイゲン</t>
    </rPh>
    <phoneticPr fontId="1"/>
  </si>
  <si>
    <t>0円以上</t>
    <rPh sb="1" eb="2">
      <t>エン</t>
    </rPh>
    <rPh sb="2" eb="4">
      <t>イジョウ</t>
    </rPh>
    <phoneticPr fontId="1"/>
  </si>
  <si>
    <t>360万円未満</t>
    <rPh sb="3" eb="5">
      <t>マンエン</t>
    </rPh>
    <rPh sb="5" eb="7">
      <t>ミマン</t>
    </rPh>
    <phoneticPr fontId="1"/>
  </si>
  <si>
    <t>660万円未満</t>
    <rPh sb="3" eb="4">
      <t>マン</t>
    </rPh>
    <rPh sb="4" eb="5">
      <t>エン</t>
    </rPh>
    <rPh sb="5" eb="7">
      <t>ミマン</t>
    </rPh>
    <phoneticPr fontId="1"/>
  </si>
  <si>
    <t>360万円以上</t>
    <rPh sb="3" eb="5">
      <t>マンエン</t>
    </rPh>
    <phoneticPr fontId="1"/>
  </si>
  <si>
    <t>660万円以上</t>
    <rPh sb="3" eb="4">
      <t>マン</t>
    </rPh>
    <rPh sb="4" eb="5">
      <t>エン</t>
    </rPh>
    <phoneticPr fontId="1"/>
  </si>
  <si>
    <t>～</t>
    <phoneticPr fontId="1"/>
  </si>
  <si>
    <t>330万円未満</t>
    <rPh sb="3" eb="5">
      <t>マンエン</t>
    </rPh>
    <rPh sb="5" eb="7">
      <t>ミマン</t>
    </rPh>
    <phoneticPr fontId="1"/>
  </si>
  <si>
    <t>410万円未満</t>
    <rPh sb="3" eb="5">
      <t>マンエン</t>
    </rPh>
    <rPh sb="5" eb="7">
      <t>ミマン</t>
    </rPh>
    <phoneticPr fontId="1"/>
  </si>
  <si>
    <t>770万円未満</t>
    <rPh sb="3" eb="5">
      <t>マンエン</t>
    </rPh>
    <rPh sb="5" eb="7">
      <t>ミマン</t>
    </rPh>
    <phoneticPr fontId="1"/>
  </si>
  <si>
    <t>130万円未満</t>
    <rPh sb="3" eb="5">
      <t>マンエン</t>
    </rPh>
    <rPh sb="5" eb="7">
      <t>ミマン</t>
    </rPh>
    <phoneticPr fontId="1"/>
  </si>
  <si>
    <t>330万円以上</t>
    <rPh sb="3" eb="5">
      <t>マンエン</t>
    </rPh>
    <phoneticPr fontId="1"/>
  </si>
  <si>
    <t>410万円以上</t>
    <rPh sb="3" eb="5">
      <t>マンエン</t>
    </rPh>
    <phoneticPr fontId="1"/>
  </si>
  <si>
    <t>770万円以上</t>
    <rPh sb="3" eb="5">
      <t>マンエン</t>
    </rPh>
    <phoneticPr fontId="1"/>
  </si>
  <si>
    <t>130万円以上</t>
    <rPh sb="3" eb="5">
      <t>マンエン</t>
    </rPh>
    <phoneticPr fontId="1"/>
  </si>
  <si>
    <t>給与収入が</t>
    <rPh sb="0" eb="2">
      <t>キュウヨ</t>
    </rPh>
    <rPh sb="2" eb="4">
      <t>シュウニュウ</t>
    </rPh>
    <phoneticPr fontId="1"/>
  </si>
  <si>
    <t>年金収入が</t>
    <rPh sb="0" eb="2">
      <t>ネンキン</t>
    </rPh>
    <rPh sb="2" eb="4">
      <t>シュウニュウ</t>
    </rPh>
    <phoneticPr fontId="1"/>
  </si>
  <si>
    <t>未申告者</t>
    <rPh sb="0" eb="4">
      <t>ミシンコクシャ</t>
    </rPh>
    <phoneticPr fontId="1"/>
  </si>
  <si>
    <t>いる</t>
    <phoneticPr fontId="1"/>
  </si>
  <si>
    <t>いない</t>
    <phoneticPr fontId="1"/>
  </si>
  <si>
    <t>世帯内に所得の不明な方（未申告者）が</t>
    <rPh sb="0" eb="2">
      <t>セタイ</t>
    </rPh>
    <rPh sb="2" eb="3">
      <t>ナイ</t>
    </rPh>
    <rPh sb="4" eb="6">
      <t>ショトク</t>
    </rPh>
    <rPh sb="7" eb="9">
      <t>フメイ</t>
    </rPh>
    <rPh sb="10" eb="11">
      <t>カタ</t>
    </rPh>
    <rPh sb="12" eb="13">
      <t>ミ</t>
    </rPh>
    <rPh sb="13" eb="15">
      <t>シンコク</t>
    </rPh>
    <rPh sb="15" eb="16">
      <t>シャ</t>
    </rPh>
    <phoneticPr fontId="1"/>
  </si>
  <si>
    <t>１か月あたりの金額</t>
    <rPh sb="0" eb="3">
      <t>イッカゲツ</t>
    </rPh>
    <rPh sb="7" eb="9">
      <t>キンガク</t>
    </rPh>
    <phoneticPr fontId="1"/>
  </si>
  <si>
    <t>1期あたりの金額（概算）</t>
    <rPh sb="1" eb="2">
      <t>キ</t>
    </rPh>
    <rPh sb="6" eb="8">
      <t>キンガク</t>
    </rPh>
    <rPh sb="9" eb="11">
      <t>ガイサン</t>
    </rPh>
    <phoneticPr fontId="1"/>
  </si>
  <si>
    <r>
      <t>※上限額</t>
    </r>
    <r>
      <rPr>
        <sz val="9"/>
        <color rgb="FFFF0000"/>
        <rFont val="HG創英角ｺﾞｼｯｸUB"/>
        <family val="3"/>
        <charset val="128"/>
      </rPr>
      <t>１７</t>
    </r>
    <r>
      <rPr>
        <sz val="9"/>
        <rFont val="HG創英角ｺﾞｼｯｸUB"/>
        <family val="3"/>
        <charset val="128"/>
      </rPr>
      <t>万円です</t>
    </r>
    <rPh sb="1" eb="4">
      <t>ジョウゲンガク</t>
    </rPh>
    <rPh sb="6" eb="8">
      <t>マンエン</t>
    </rPh>
    <phoneticPr fontId="1"/>
  </si>
  <si>
    <t>年度</t>
    <rPh sb="0" eb="2">
      <t>ネンド</t>
    </rPh>
    <phoneticPr fontId="1"/>
  </si>
  <si>
    <t>1期(7月末)</t>
    <rPh sb="1" eb="2">
      <t>キ</t>
    </rPh>
    <rPh sb="4" eb="5">
      <t>ガツ</t>
    </rPh>
    <rPh sb="5" eb="6">
      <t>マツ</t>
    </rPh>
    <phoneticPr fontId="1"/>
  </si>
  <si>
    <t>2期(8月末)</t>
    <rPh sb="1" eb="2">
      <t>キ</t>
    </rPh>
    <rPh sb="4" eb="5">
      <t>ガツ</t>
    </rPh>
    <rPh sb="5" eb="6">
      <t>マツ</t>
    </rPh>
    <phoneticPr fontId="1"/>
  </si>
  <si>
    <t>3期(9月末)</t>
    <rPh sb="1" eb="2">
      <t>キ</t>
    </rPh>
    <rPh sb="4" eb="5">
      <t>ガツ</t>
    </rPh>
    <rPh sb="5" eb="6">
      <t>マツ</t>
    </rPh>
    <phoneticPr fontId="1"/>
  </si>
  <si>
    <t>4期(10月末)</t>
    <rPh sb="1" eb="2">
      <t>キ</t>
    </rPh>
    <rPh sb="5" eb="6">
      <t>ガツ</t>
    </rPh>
    <rPh sb="6" eb="7">
      <t>マツ</t>
    </rPh>
    <phoneticPr fontId="1"/>
  </si>
  <si>
    <t>5期(11月末)</t>
    <rPh sb="1" eb="2">
      <t>キ</t>
    </rPh>
    <rPh sb="5" eb="6">
      <t>ガツ</t>
    </rPh>
    <rPh sb="6" eb="7">
      <t>マツ</t>
    </rPh>
    <phoneticPr fontId="1"/>
  </si>
  <si>
    <t>6期(12月末)</t>
    <rPh sb="1" eb="2">
      <t>キ</t>
    </rPh>
    <rPh sb="5" eb="6">
      <t>ガツ</t>
    </rPh>
    <rPh sb="6" eb="7">
      <t>マツ</t>
    </rPh>
    <phoneticPr fontId="1"/>
  </si>
  <si>
    <t>7期(1月末)</t>
    <rPh sb="1" eb="2">
      <t>キ</t>
    </rPh>
    <phoneticPr fontId="1"/>
  </si>
  <si>
    <t>8期(2月末)</t>
    <rPh sb="1" eb="2">
      <t>キ</t>
    </rPh>
    <phoneticPr fontId="1"/>
  </si>
  <si>
    <t xml:space="preserve"> </t>
    <phoneticPr fontId="1"/>
  </si>
  <si>
    <t>翌月末</t>
    <rPh sb="0" eb="3">
      <t>ヨクゲツマツ</t>
    </rPh>
    <phoneticPr fontId="1"/>
  </si>
  <si>
    <t>↑単に8で割った数</t>
    <rPh sb="1" eb="2">
      <t>タン</t>
    </rPh>
    <rPh sb="5" eb="6">
      <t>ワ</t>
    </rPh>
    <rPh sb="8" eb="9">
      <t>カズ</t>
    </rPh>
    <phoneticPr fontId="1"/>
  </si>
  <si>
    <t>↑単に12で割った数</t>
    <rPh sb="1" eb="2">
      <t>タン</t>
    </rPh>
    <rPh sb="6" eb="7">
      <t>ワ</t>
    </rPh>
    <rPh sb="9" eb="10">
      <t>カズ</t>
    </rPh>
    <phoneticPr fontId="1"/>
  </si>
  <si>
    <t>※次回更正の</t>
    <rPh sb="1" eb="3">
      <t>ジカイ</t>
    </rPh>
    <rPh sb="3" eb="4">
      <t>コウ</t>
    </rPh>
    <rPh sb="4" eb="5">
      <t>セイ</t>
    </rPh>
    <phoneticPr fontId="1"/>
  </si>
  <si>
    <t>日程による。</t>
    <rPh sb="0" eb="2">
      <t>ニッテイ</t>
    </rPh>
    <phoneticPr fontId="1"/>
  </si>
  <si>
    <t>※100円単位でズレる可能性が非常に高いです！！</t>
    <rPh sb="4" eb="5">
      <t>エン</t>
    </rPh>
    <rPh sb="5" eb="7">
      <t>タンイ</t>
    </rPh>
    <rPh sb="11" eb="14">
      <t>カノウセイ</t>
    </rPh>
    <rPh sb="15" eb="17">
      <t>ヒジョウ</t>
    </rPh>
    <rPh sb="18" eb="19">
      <t>タカ</t>
    </rPh>
    <phoneticPr fontId="1"/>
  </si>
  <si>
    <t>850万円未満</t>
    <rPh sb="3" eb="4">
      <t>マン</t>
    </rPh>
    <rPh sb="4" eb="5">
      <t>エン</t>
    </rPh>
    <rPh sb="5" eb="7">
      <t>ミマン</t>
    </rPh>
    <phoneticPr fontId="1"/>
  </si>
  <si>
    <t>850万円以上</t>
    <rPh sb="3" eb="4">
      <t>マン</t>
    </rPh>
    <rPh sb="4" eb="5">
      <t>エン</t>
    </rPh>
    <phoneticPr fontId="1"/>
  </si>
  <si>
    <t>基礎控除額</t>
    <rPh sb="0" eb="2">
      <t>キソ</t>
    </rPh>
    <rPh sb="2" eb="4">
      <t>コウジョ</t>
    </rPh>
    <rPh sb="4" eb="5">
      <t>ガク</t>
    </rPh>
    <phoneticPr fontId="1"/>
  </si>
  <si>
    <t>合計所得が</t>
    <rPh sb="0" eb="2">
      <t>ゴウケイ</t>
    </rPh>
    <rPh sb="2" eb="4">
      <t>ショトク</t>
    </rPh>
    <phoneticPr fontId="1"/>
  </si>
  <si>
    <t>年金所得か
らマイナス
15万円該当</t>
    <rPh sb="0" eb="2">
      <t>ネンキン</t>
    </rPh>
    <rPh sb="2" eb="4">
      <t>ショトク</t>
    </rPh>
    <rPh sb="14" eb="16">
      <t>マンエン</t>
    </rPh>
    <phoneticPr fontId="1"/>
  </si>
  <si>
    <t>給与所得あり</t>
    <rPh sb="0" eb="2">
      <t>キュウヨ</t>
    </rPh>
    <rPh sb="2" eb="4">
      <t>ショトク</t>
    </rPh>
    <phoneticPr fontId="1"/>
  </si>
  <si>
    <t>年金所得あり</t>
    <rPh sb="0" eb="2">
      <t>ネンキン</t>
    </rPh>
    <rPh sb="2" eb="4">
      <t>ショトク</t>
    </rPh>
    <phoneticPr fontId="1"/>
  </si>
  <si>
    <t>　給与所得
＋年金所得</t>
    <rPh sb="1" eb="3">
      <t>キュウヨ</t>
    </rPh>
    <rPh sb="3" eb="5">
      <t>ショトク</t>
    </rPh>
    <rPh sb="7" eb="9">
      <t>ネンキン</t>
    </rPh>
    <rPh sb="9" eb="11">
      <t>ショトク</t>
    </rPh>
    <phoneticPr fontId="1"/>
  </si>
  <si>
    <t>430,000円＋☆</t>
    <phoneticPr fontId="1"/>
  </si>
  <si>
    <t>60万円未満</t>
    <rPh sb="2" eb="4">
      <t>マンエン</t>
    </rPh>
    <rPh sb="4" eb="6">
      <t>ミマン</t>
    </rPh>
    <phoneticPr fontId="1"/>
  </si>
  <si>
    <t>60万円以上</t>
    <rPh sb="2" eb="4">
      <t>マンエン</t>
    </rPh>
    <phoneticPr fontId="1"/>
  </si>
  <si>
    <t>1,000万円未満</t>
    <rPh sb="5" eb="6">
      <t>マン</t>
    </rPh>
    <rPh sb="6" eb="7">
      <t>エン</t>
    </rPh>
    <rPh sb="7" eb="9">
      <t>ミマン</t>
    </rPh>
    <phoneticPr fontId="1"/>
  </si>
  <si>
    <t>1,000万円以上</t>
    <rPh sb="7" eb="9">
      <t>イジョウ</t>
    </rPh>
    <phoneticPr fontId="1"/>
  </si>
  <si>
    <t>110万円以上</t>
    <rPh sb="3" eb="5">
      <t>マンエン</t>
    </rPh>
    <phoneticPr fontId="1"/>
  </si>
  <si>
    <t>（給与収入額/4）*2.8-80,000円</t>
    <rPh sb="1" eb="3">
      <t>キュウヨ</t>
    </rPh>
    <rPh sb="3" eb="5">
      <t>シュウニュウ</t>
    </rPh>
    <rPh sb="5" eb="6">
      <t>ガク</t>
    </rPh>
    <rPh sb="20" eb="21">
      <t>エン</t>
    </rPh>
    <phoneticPr fontId="1"/>
  </si>
  <si>
    <t>（給与収入額/4）*3.2-440,000円</t>
    <rPh sb="1" eb="3">
      <t>キュウヨ</t>
    </rPh>
    <rPh sb="3" eb="5">
      <t>シュウニュウ</t>
    </rPh>
    <rPh sb="5" eb="6">
      <t>ガク</t>
    </rPh>
    <rPh sb="21" eb="22">
      <t>エン</t>
    </rPh>
    <phoneticPr fontId="1"/>
  </si>
  <si>
    <t>給与収入額*0.9+1,100,000円</t>
    <rPh sb="0" eb="2">
      <t>キュウヨ</t>
    </rPh>
    <rPh sb="2" eb="4">
      <t>シュウニュウ</t>
    </rPh>
    <rPh sb="4" eb="5">
      <t>ガク</t>
    </rPh>
    <rPh sb="19" eb="20">
      <t>エン</t>
    </rPh>
    <phoneticPr fontId="1"/>
  </si>
  <si>
    <t>給与収入額-1,950,000円</t>
    <rPh sb="0" eb="2">
      <t>キュウヨ</t>
    </rPh>
    <rPh sb="2" eb="4">
      <t>シュウニュウ</t>
    </rPh>
    <rPh sb="4" eb="5">
      <t>ガク</t>
    </rPh>
    <rPh sb="15" eb="16">
      <t>エン</t>
    </rPh>
    <phoneticPr fontId="1"/>
  </si>
  <si>
    <t>110万円以下</t>
    <rPh sb="3" eb="5">
      <t>マンエン</t>
    </rPh>
    <rPh sb="5" eb="7">
      <t>イカ</t>
    </rPh>
    <phoneticPr fontId="1"/>
  </si>
  <si>
    <t>50万円以上</t>
    <rPh sb="2" eb="4">
      <t>マンエン</t>
    </rPh>
    <phoneticPr fontId="1"/>
  </si>
  <si>
    <t>50万円未満</t>
    <rPh sb="2" eb="4">
      <t>マンエン</t>
    </rPh>
    <rPh sb="4" eb="6">
      <t>ミマン</t>
    </rPh>
    <phoneticPr fontId="1"/>
  </si>
  <si>
    <t>100万円以下</t>
    <rPh sb="3" eb="5">
      <t>マンエン</t>
    </rPh>
    <rPh sb="5" eb="7">
      <t>イカ</t>
    </rPh>
    <phoneticPr fontId="1"/>
  </si>
  <si>
    <t>100万円以上</t>
    <rPh sb="3" eb="5">
      <t>マンエン</t>
    </rPh>
    <phoneticPr fontId="1"/>
  </si>
  <si>
    <t>40万円未満</t>
    <rPh sb="2" eb="4">
      <t>マンエン</t>
    </rPh>
    <rPh sb="4" eb="6">
      <t>ミマン</t>
    </rPh>
    <phoneticPr fontId="1"/>
  </si>
  <si>
    <t>40万円以上</t>
    <rPh sb="2" eb="4">
      <t>マンエン</t>
    </rPh>
    <phoneticPr fontId="1"/>
  </si>
  <si>
    <t>90万円以下</t>
    <rPh sb="2" eb="4">
      <t>マンエン</t>
    </rPh>
    <rPh sb="4" eb="6">
      <t>イカ</t>
    </rPh>
    <phoneticPr fontId="1"/>
  </si>
  <si>
    <t>90万円以上</t>
    <rPh sb="2" eb="4">
      <t>マンエン</t>
    </rPh>
    <phoneticPr fontId="1"/>
  </si>
  <si>
    <t>給与収入金額</t>
    <rPh sb="0" eb="2">
      <t>キュウヨ</t>
    </rPh>
    <rPh sb="2" eb="4">
      <t>シュウニュウ</t>
    </rPh>
    <rPh sb="4" eb="6">
      <t>キンガク</t>
    </rPh>
    <phoneticPr fontId="1"/>
  </si>
  <si>
    <t>給与所得金額</t>
    <rPh sb="0" eb="2">
      <t>キュウヨ</t>
    </rPh>
    <rPh sb="2" eb="4">
      <t>ショトク</t>
    </rPh>
    <rPh sb="4" eb="6">
      <t>キンガク</t>
    </rPh>
    <phoneticPr fontId="1"/>
  </si>
  <si>
    <t>【参考】</t>
    <rPh sb="1" eb="3">
      <t>サンコウ</t>
    </rPh>
    <phoneticPr fontId="1"/>
  </si>
  <si>
    <t>年金収入額-1,100,000円</t>
    <rPh sb="0" eb="2">
      <t>ネンキン</t>
    </rPh>
    <rPh sb="2" eb="4">
      <t>シュウニュウ</t>
    </rPh>
    <rPh sb="4" eb="5">
      <t>ガク</t>
    </rPh>
    <rPh sb="15" eb="16">
      <t>エン</t>
    </rPh>
    <phoneticPr fontId="1"/>
  </si>
  <si>
    <t>0円</t>
    <rPh sb="1" eb="2">
      <t>エン</t>
    </rPh>
    <phoneticPr fontId="1"/>
  </si>
  <si>
    <t>年金収入額*0.75-275,000円</t>
    <rPh sb="0" eb="2">
      <t>ネンキン</t>
    </rPh>
    <rPh sb="2" eb="4">
      <t>シュウニュウ</t>
    </rPh>
    <rPh sb="4" eb="5">
      <t>ガク</t>
    </rPh>
    <rPh sb="18" eb="19">
      <t>エン</t>
    </rPh>
    <phoneticPr fontId="1"/>
  </si>
  <si>
    <t>年金収入額*0.85-685,000円</t>
    <rPh sb="0" eb="2">
      <t>ネンキン</t>
    </rPh>
    <rPh sb="2" eb="4">
      <t>シュウニュウ</t>
    </rPh>
    <rPh sb="4" eb="5">
      <t>ガク</t>
    </rPh>
    <rPh sb="18" eb="19">
      <t>エン</t>
    </rPh>
    <phoneticPr fontId="1"/>
  </si>
  <si>
    <t>年金収入額*0.95-1,455,000円</t>
    <rPh sb="0" eb="2">
      <t>ネンキン</t>
    </rPh>
    <rPh sb="2" eb="4">
      <t>シュウニュウ</t>
    </rPh>
    <rPh sb="4" eb="5">
      <t>ガク</t>
    </rPh>
    <rPh sb="20" eb="21">
      <t>エン</t>
    </rPh>
    <phoneticPr fontId="1"/>
  </si>
  <si>
    <t>年金収入額-1,955,000円</t>
    <rPh sb="0" eb="2">
      <t>ネンキン</t>
    </rPh>
    <rPh sb="2" eb="4">
      <t>シュウニュウ</t>
    </rPh>
    <rPh sb="4" eb="5">
      <t>ガク</t>
    </rPh>
    <rPh sb="15" eb="16">
      <t>エン</t>
    </rPh>
    <phoneticPr fontId="1"/>
  </si>
  <si>
    <t>年金収入額-600,000円</t>
    <rPh sb="0" eb="2">
      <t>ネンキン</t>
    </rPh>
    <rPh sb="2" eb="4">
      <t>シュウニュウ</t>
    </rPh>
    <rPh sb="4" eb="5">
      <t>ガク</t>
    </rPh>
    <rPh sb="13" eb="14">
      <t>エン</t>
    </rPh>
    <phoneticPr fontId="1"/>
  </si>
  <si>
    <t>年金収入額-500,000円</t>
    <rPh sb="0" eb="2">
      <t>ネンキン</t>
    </rPh>
    <rPh sb="2" eb="4">
      <t>シュウニュウ</t>
    </rPh>
    <rPh sb="4" eb="5">
      <t>ガク</t>
    </rPh>
    <rPh sb="13" eb="14">
      <t>エン</t>
    </rPh>
    <phoneticPr fontId="1"/>
  </si>
  <si>
    <t>年金収入額*0.75-175,000円</t>
    <rPh sb="0" eb="2">
      <t>ネンキン</t>
    </rPh>
    <rPh sb="2" eb="4">
      <t>シュウニュウ</t>
    </rPh>
    <rPh sb="4" eb="5">
      <t>ガク</t>
    </rPh>
    <rPh sb="18" eb="19">
      <t>エン</t>
    </rPh>
    <phoneticPr fontId="1"/>
  </si>
  <si>
    <t>年金収入額*0.85-585,000円</t>
    <rPh sb="0" eb="2">
      <t>ネンキン</t>
    </rPh>
    <rPh sb="2" eb="4">
      <t>シュウニュウ</t>
    </rPh>
    <rPh sb="4" eb="5">
      <t>ガク</t>
    </rPh>
    <rPh sb="18" eb="19">
      <t>エン</t>
    </rPh>
    <phoneticPr fontId="1"/>
  </si>
  <si>
    <t>年金収入額*0.95-1,355,000円</t>
    <rPh sb="0" eb="2">
      <t>ネンキン</t>
    </rPh>
    <rPh sb="2" eb="4">
      <t>シュウニュウ</t>
    </rPh>
    <rPh sb="4" eb="5">
      <t>ガク</t>
    </rPh>
    <rPh sb="20" eb="21">
      <t>エン</t>
    </rPh>
    <phoneticPr fontId="1"/>
  </si>
  <si>
    <t>年金収入額-1,855,000円</t>
    <rPh sb="0" eb="2">
      <t>ネンキン</t>
    </rPh>
    <rPh sb="2" eb="4">
      <t>シュウニュウ</t>
    </rPh>
    <rPh sb="4" eb="5">
      <t>ガク</t>
    </rPh>
    <rPh sb="15" eb="16">
      <t>エン</t>
    </rPh>
    <phoneticPr fontId="1"/>
  </si>
  <si>
    <t>年金収入額-400,000円</t>
    <rPh sb="0" eb="2">
      <t>ネンキン</t>
    </rPh>
    <rPh sb="2" eb="4">
      <t>シュウニュウ</t>
    </rPh>
    <rPh sb="4" eb="5">
      <t>ガク</t>
    </rPh>
    <rPh sb="13" eb="14">
      <t>エン</t>
    </rPh>
    <phoneticPr fontId="1"/>
  </si>
  <si>
    <t>年金収入額*0.75-75,000円</t>
    <rPh sb="0" eb="2">
      <t>ネンキン</t>
    </rPh>
    <rPh sb="2" eb="4">
      <t>シュウニュウ</t>
    </rPh>
    <rPh sb="4" eb="5">
      <t>ガク</t>
    </rPh>
    <rPh sb="17" eb="18">
      <t>エン</t>
    </rPh>
    <phoneticPr fontId="1"/>
  </si>
  <si>
    <t>年金収入額*0.85-485,000円</t>
    <rPh sb="0" eb="2">
      <t>ネンキン</t>
    </rPh>
    <rPh sb="2" eb="4">
      <t>シュウニュウ</t>
    </rPh>
    <rPh sb="4" eb="5">
      <t>ガク</t>
    </rPh>
    <rPh sb="18" eb="19">
      <t>エン</t>
    </rPh>
    <phoneticPr fontId="1"/>
  </si>
  <si>
    <t>年金収入額*0.95-1,255,000円</t>
    <rPh sb="0" eb="2">
      <t>ネンキン</t>
    </rPh>
    <rPh sb="2" eb="4">
      <t>シュウニュウ</t>
    </rPh>
    <rPh sb="4" eb="5">
      <t>ガク</t>
    </rPh>
    <rPh sb="20" eb="21">
      <t>エン</t>
    </rPh>
    <phoneticPr fontId="1"/>
  </si>
  <si>
    <t>年金収入額-1,755,000円</t>
    <rPh sb="0" eb="2">
      <t>ネンキン</t>
    </rPh>
    <rPh sb="2" eb="4">
      <t>シュウニュウ</t>
    </rPh>
    <rPh sb="4" eb="5">
      <t>ガク</t>
    </rPh>
    <rPh sb="15" eb="16">
      <t>エン</t>
    </rPh>
    <phoneticPr fontId="1"/>
  </si>
  <si>
    <t>年金収入額-900,000円</t>
    <rPh sb="0" eb="2">
      <t>ネンキン</t>
    </rPh>
    <rPh sb="2" eb="4">
      <t>シュウニュウ</t>
    </rPh>
    <rPh sb="4" eb="5">
      <t>ガク</t>
    </rPh>
    <rPh sb="13" eb="14">
      <t>エン</t>
    </rPh>
    <phoneticPr fontId="1"/>
  </si>
  <si>
    <t>年金収入額-1,000,000円</t>
    <rPh sb="0" eb="2">
      <t>ネンキン</t>
    </rPh>
    <rPh sb="2" eb="4">
      <t>シュウニュウ</t>
    </rPh>
    <rPh sb="4" eb="5">
      <t>ガク</t>
    </rPh>
    <rPh sb="15" eb="16">
      <t>エン</t>
    </rPh>
    <phoneticPr fontId="1"/>
  </si>
  <si>
    <t>(擬主含)世帯内に給与所得or年金所得者が複数</t>
    <rPh sb="1" eb="2">
      <t>ギ</t>
    </rPh>
    <rPh sb="2" eb="3">
      <t>ヌシ</t>
    </rPh>
    <rPh sb="3" eb="4">
      <t>フク</t>
    </rPh>
    <rPh sb="5" eb="7">
      <t>セタイ</t>
    </rPh>
    <rPh sb="7" eb="8">
      <t>ナイ</t>
    </rPh>
    <rPh sb="9" eb="11">
      <t>キュウヨ</t>
    </rPh>
    <rPh sb="11" eb="13">
      <t>ショトク</t>
    </rPh>
    <rPh sb="15" eb="17">
      <t>ネンキン</t>
    </rPh>
    <rPh sb="17" eb="19">
      <t>ショトク</t>
    </rPh>
    <rPh sb="19" eb="20">
      <t>シャ</t>
    </rPh>
    <rPh sb="21" eb="23">
      <t>フクスウ</t>
    </rPh>
    <phoneticPr fontId="1"/>
  </si>
  <si>
    <t>☆</t>
    <phoneticPr fontId="1"/>
  </si>
  <si>
    <t>(控除額増額)</t>
    <phoneticPr fontId="1"/>
  </si>
  <si>
    <t>あなたの世帯の未就学児数は</t>
    <rPh sb="4" eb="6">
      <t>セタイ</t>
    </rPh>
    <rPh sb="7" eb="11">
      <t>ミシュウガクジ</t>
    </rPh>
    <rPh sb="11" eb="12">
      <t>スウ</t>
    </rPh>
    <phoneticPr fontId="1"/>
  </si>
  <si>
    <t>加入者１</t>
    <rPh sb="0" eb="3">
      <t>カニュウシャ</t>
    </rPh>
    <phoneticPr fontId="1"/>
  </si>
  <si>
    <t>7割・5割・2割のいずれの軽減にも該当しない 又は 所得の不明な方（未申告）がいる場合</t>
    <rPh sb="1" eb="2">
      <t>ワリ</t>
    </rPh>
    <rPh sb="4" eb="5">
      <t>ワリ</t>
    </rPh>
    <rPh sb="7" eb="8">
      <t>ワリ</t>
    </rPh>
    <rPh sb="13" eb="15">
      <t>ケイゲン</t>
    </rPh>
    <rPh sb="17" eb="19">
      <t>ガイトウ</t>
    </rPh>
    <rPh sb="23" eb="24">
      <t>マタ</t>
    </rPh>
    <rPh sb="26" eb="28">
      <t>ショトク</t>
    </rPh>
    <rPh sb="29" eb="31">
      <t>フメイ</t>
    </rPh>
    <rPh sb="32" eb="33">
      <t>カタ</t>
    </rPh>
    <rPh sb="34" eb="37">
      <t>ミシンコク</t>
    </rPh>
    <rPh sb="41" eb="43">
      <t>バアイ</t>
    </rPh>
    <phoneticPr fontId="1"/>
  </si>
  <si>
    <t>65万1千円未満</t>
    <rPh sb="2" eb="3">
      <t>マン</t>
    </rPh>
    <rPh sb="4" eb="5">
      <t>セン</t>
    </rPh>
    <rPh sb="5" eb="6">
      <t>エン</t>
    </rPh>
    <rPh sb="6" eb="8">
      <t>ミマン</t>
    </rPh>
    <phoneticPr fontId="1"/>
  </si>
  <si>
    <t>190万円以上</t>
    <rPh sb="3" eb="4">
      <t>マン</t>
    </rPh>
    <rPh sb="4" eb="5">
      <t>エン</t>
    </rPh>
    <phoneticPr fontId="1"/>
  </si>
  <si>
    <t>65万1千円以上</t>
    <rPh sb="2" eb="3">
      <t>マン</t>
    </rPh>
    <rPh sb="4" eb="5">
      <t>セン</t>
    </rPh>
    <rPh sb="5" eb="6">
      <t>エン</t>
    </rPh>
    <rPh sb="6" eb="8">
      <t>イジョウ</t>
    </rPh>
    <phoneticPr fontId="1"/>
  </si>
  <si>
    <t>190万円未満</t>
    <rPh sb="3" eb="4">
      <t>マン</t>
    </rPh>
    <rPh sb="4" eb="5">
      <t>エン</t>
    </rPh>
    <rPh sb="5" eb="7">
      <t>ミマン</t>
    </rPh>
    <phoneticPr fontId="1"/>
  </si>
  <si>
    <t>給与収入額-650,000円</t>
    <rPh sb="0" eb="2">
      <t>キュウヨ</t>
    </rPh>
    <rPh sb="2" eb="4">
      <t>シュウニュウ</t>
    </rPh>
    <rPh sb="4" eb="5">
      <t>ガク</t>
    </rPh>
    <rPh sb="13" eb="14">
      <t>エン</t>
    </rPh>
    <phoneticPr fontId="1"/>
  </si>
  <si>
    <r>
      <t>※上限額</t>
    </r>
    <r>
      <rPr>
        <sz val="9"/>
        <color rgb="FFFF0000"/>
        <rFont val="HG創英角ｺﾞｼｯｸUB"/>
        <family val="3"/>
        <charset val="128"/>
      </rPr>
      <t>２６</t>
    </r>
    <r>
      <rPr>
        <sz val="9"/>
        <rFont val="HG創英角ｺﾞｼｯｸUB"/>
        <family val="3"/>
        <charset val="128"/>
      </rPr>
      <t>万円です</t>
    </r>
    <rPh sb="1" eb="4">
      <t>ジョウゲンガク</t>
    </rPh>
    <rPh sb="6" eb="8">
      <t>マンエン</t>
    </rPh>
    <phoneticPr fontId="1"/>
  </si>
  <si>
    <t>　　③介護保険分税額</t>
    <rPh sb="3" eb="5">
      <t>カイゴ</t>
    </rPh>
    <rPh sb="5" eb="7">
      <t>ホケン</t>
    </rPh>
    <rPh sb="7" eb="8">
      <t>ブン</t>
    </rPh>
    <phoneticPr fontId="1"/>
  </si>
  <si>
    <t>　　④子ども子育て支援金分税額</t>
    <rPh sb="13" eb="15">
      <t>ゼイガク</t>
    </rPh>
    <phoneticPr fontId="1"/>
  </si>
  <si>
    <t>④子ども子育て支援金分（18歳未満の加入者は免除）を計算します</t>
    <rPh sb="1" eb="2">
      <t>コ</t>
    </rPh>
    <rPh sb="4" eb="6">
      <t>コソダ</t>
    </rPh>
    <rPh sb="7" eb="10">
      <t>シエンキン</t>
    </rPh>
    <rPh sb="10" eb="11">
      <t>ブン</t>
    </rPh>
    <rPh sb="14" eb="15">
      <t>サイ</t>
    </rPh>
    <rPh sb="15" eb="17">
      <t>ミマン</t>
    </rPh>
    <rPh sb="18" eb="21">
      <t>カニュウシャ</t>
    </rPh>
    <rPh sb="22" eb="24">
      <t>メンジョ</t>
    </rPh>
    <phoneticPr fontId="1"/>
  </si>
  <si>
    <t>国民健康保険税試算シート（2026年度）</t>
    <rPh sb="0" eb="2">
      <t>コクミン</t>
    </rPh>
    <rPh sb="2" eb="4">
      <t>ケンコウ</t>
    </rPh>
    <rPh sb="4" eb="6">
      <t>ホケン</t>
    </rPh>
    <rPh sb="6" eb="7">
      <t>ゼイ</t>
    </rPh>
    <rPh sb="7" eb="9">
      <t>シサン</t>
    </rPh>
    <rPh sb="17" eb="19">
      <t>ネンド</t>
    </rPh>
    <phoneticPr fontId="1"/>
  </si>
  <si>
    <t>子子分</t>
    <rPh sb="0" eb="1">
      <t>コ</t>
    </rPh>
    <rPh sb="1" eb="2">
      <t>コ</t>
    </rPh>
    <rPh sb="2" eb="3">
      <t>ブン</t>
    </rPh>
    <phoneticPr fontId="1"/>
  </si>
  <si>
    <t>未就学児</t>
    <rPh sb="0" eb="4">
      <t>ミシュウガクジ</t>
    </rPh>
    <phoneticPr fontId="1"/>
  </si>
  <si>
    <t>均等割額</t>
    <rPh sb="0" eb="4">
      <t>キントウワリガク</t>
    </rPh>
    <phoneticPr fontId="1"/>
  </si>
  <si>
    <t>18歳以上</t>
    <rPh sb="2" eb="5">
      <t>サイイジョウ</t>
    </rPh>
    <phoneticPr fontId="1"/>
  </si>
  <si>
    <r>
      <t>未就学児</t>
    </r>
    <r>
      <rPr>
        <sz val="9"/>
        <color rgb="FFFF0000"/>
        <rFont val="HG創英角ｺﾞｼｯｸUB"/>
        <family val="3"/>
        <charset val="128"/>
      </rPr>
      <t>軽減</t>
    </r>
    <rPh sb="0" eb="4">
      <t>ミシュウガクジ</t>
    </rPh>
    <rPh sb="4" eb="6">
      <t>ケイゲン</t>
    </rPh>
    <phoneticPr fontId="1"/>
  </si>
  <si>
    <r>
      <t>18歳未満</t>
    </r>
    <r>
      <rPr>
        <sz val="9"/>
        <color rgb="FFFF0000"/>
        <rFont val="HG創英角ｺﾞｼｯｸUB"/>
        <family val="3"/>
        <charset val="128"/>
      </rPr>
      <t>軽減</t>
    </r>
    <rPh sb="5" eb="7">
      <t>ケイゲン</t>
    </rPh>
    <phoneticPr fontId="1"/>
  </si>
  <si>
    <t>18歳未満計</t>
    <rPh sb="2" eb="3">
      <t>サイ</t>
    </rPh>
    <rPh sb="3" eb="5">
      <t>ミマン</t>
    </rPh>
    <rPh sb="5" eb="6">
      <t>ケイ</t>
    </rPh>
    <phoneticPr fontId="1"/>
  </si>
  <si>
    <t>就学後～18歳未満</t>
    <rPh sb="0" eb="2">
      <t>シュウガク</t>
    </rPh>
    <rPh sb="2" eb="3">
      <t>ゴ</t>
    </rPh>
    <rPh sb="6" eb="7">
      <t>サイ</t>
    </rPh>
    <rPh sb="7" eb="9">
      <t>ミマン</t>
    </rPh>
    <phoneticPr fontId="1"/>
  </si>
  <si>
    <t>所得軽減後</t>
    <rPh sb="0" eb="2">
      <t>ショトク</t>
    </rPh>
    <rPh sb="2" eb="4">
      <t>ケイゲン</t>
    </rPh>
    <rPh sb="4" eb="5">
      <t>アト</t>
    </rPh>
    <phoneticPr fontId="1"/>
  </si>
  <si>
    <t>所得軽減後</t>
    <phoneticPr fontId="1"/>
  </si>
  <si>
    <r>
      <t>※上限額</t>
    </r>
    <r>
      <rPr>
        <sz val="9"/>
        <color rgb="FFFF0000"/>
        <rFont val="HG創英角ｺﾞｼｯｸUB"/>
        <family val="3"/>
        <charset val="128"/>
      </rPr>
      <t>３</t>
    </r>
    <r>
      <rPr>
        <sz val="9"/>
        <rFont val="HG創英角ｺﾞｼｯｸUB"/>
        <family val="3"/>
        <charset val="128"/>
      </rPr>
      <t>万円です</t>
    </r>
    <rPh sb="1" eb="4">
      <t>ジョウゲンガク</t>
    </rPh>
    <rPh sb="5" eb="7">
      <t>マンエン</t>
    </rPh>
    <phoneticPr fontId="1"/>
  </si>
  <si>
    <r>
      <t>※上限額</t>
    </r>
    <r>
      <rPr>
        <sz val="9"/>
        <color rgb="FFFF0000"/>
        <rFont val="HG創英角ｺﾞｼｯｸUB"/>
        <family val="3"/>
        <charset val="128"/>
      </rPr>
      <t>６７</t>
    </r>
    <r>
      <rPr>
        <sz val="9"/>
        <rFont val="HG創英角ｺﾞｼｯｸUB"/>
        <family val="3"/>
        <charset val="128"/>
      </rPr>
      <t>万円です</t>
    </r>
    <rPh sb="1" eb="4">
      <t>ジョウゲンガク</t>
    </rPh>
    <rPh sb="6" eb="8">
      <t>マンエン</t>
    </rPh>
    <phoneticPr fontId="1"/>
  </si>
  <si>
    <r>
      <t>　</t>
    </r>
    <r>
      <rPr>
        <sz val="12"/>
        <color rgb="FFFF0000"/>
        <rFont val="HG創英角ｺﾞｼｯｸUB"/>
        <family val="3"/>
        <charset val="128"/>
      </rPr>
      <t>★黄色のセルに必要情報を入力してください。世帯の中で国民健康保険に加入する方をA列で加入者数分選択し、</t>
    </r>
    <rPh sb="43" eb="45">
      <t>カニュウ</t>
    </rPh>
    <rPh sb="45" eb="46">
      <t>シャ</t>
    </rPh>
    <rPh sb="46" eb="47">
      <t>スウ</t>
    </rPh>
    <rPh sb="47" eb="48">
      <t>ブン</t>
    </rPh>
    <rPh sb="48" eb="50">
      <t>センタク</t>
    </rPh>
    <phoneticPr fontId="1"/>
  </si>
  <si>
    <t>　注）本シートは、給与所得と年金所得がある場合の所得金額調整控除を自動反映できません。</t>
    <rPh sb="1" eb="2">
      <t>チュウ</t>
    </rPh>
    <phoneticPr fontId="1"/>
  </si>
  <si>
    <t>擬制世帯主※2</t>
    <rPh sb="0" eb="1">
      <t>ギ</t>
    </rPh>
    <rPh sb="1" eb="2">
      <t>セイ</t>
    </rPh>
    <rPh sb="2" eb="5">
      <t>セタイヌシ</t>
    </rPh>
    <phoneticPr fontId="1"/>
  </si>
  <si>
    <t>※１  非自発的失業による軽減に該当する場合は実際の給与所得×100分の30を給与所得として上記欄に入力します。非自発的失業については、</t>
    <rPh sb="4" eb="5">
      <t>ヒ</t>
    </rPh>
    <rPh sb="5" eb="8">
      <t>ジハツテキ</t>
    </rPh>
    <rPh sb="8" eb="10">
      <t>シツギョウ</t>
    </rPh>
    <rPh sb="13" eb="15">
      <t>ケイゲン</t>
    </rPh>
    <rPh sb="16" eb="18">
      <t>ガイトウ</t>
    </rPh>
    <rPh sb="20" eb="22">
      <t>バアイ</t>
    </rPh>
    <rPh sb="23" eb="25">
      <t>ジッサイ</t>
    </rPh>
    <rPh sb="26" eb="28">
      <t>キュウヨ</t>
    </rPh>
    <rPh sb="28" eb="30">
      <t>ショトク</t>
    </rPh>
    <rPh sb="34" eb="35">
      <t>ブン</t>
    </rPh>
    <rPh sb="39" eb="41">
      <t>キュウヨ</t>
    </rPh>
    <rPh sb="41" eb="43">
      <t>ショトク</t>
    </rPh>
    <rPh sb="46" eb="48">
      <t>ジョウキ</t>
    </rPh>
    <rPh sb="48" eb="49">
      <t>ラン</t>
    </rPh>
    <rPh sb="50" eb="52">
      <t>ニュウリョク</t>
    </rPh>
    <phoneticPr fontId="1"/>
  </si>
  <si>
    <t>こちら。</t>
    <phoneticPr fontId="1"/>
  </si>
  <si>
    <t>※２　擬制世帯主とは、世帯内に国民健康保険加入者がいて、世帯主が国民健康保険に加入していない場合の世帯主を意味します。</t>
    <phoneticPr fontId="1"/>
  </si>
  <si>
    <t>国民健康保険税試算額は</t>
    <rPh sb="0" eb="2">
      <t>コクミン</t>
    </rPh>
    <rPh sb="2" eb="4">
      <t>ケンコウ</t>
    </rPh>
    <rPh sb="4" eb="6">
      <t>ホケン</t>
    </rPh>
    <rPh sb="6" eb="7">
      <t>ゼイ</t>
    </rPh>
    <rPh sb="7" eb="9">
      <t>シサン</t>
    </rPh>
    <rPh sb="9" eb="10">
      <t>ガク</t>
    </rPh>
    <phoneticPr fontId="1"/>
  </si>
  <si>
    <t>年額（12か月分）</t>
    <rPh sb="0" eb="2">
      <t>ネンガク</t>
    </rPh>
    <rPh sb="6" eb="8">
      <t>ゲツブン</t>
    </rPh>
    <phoneticPr fontId="1"/>
  </si>
  <si>
    <t>1か月あたりの金額</t>
    <rPh sb="2" eb="3">
      <t>ゲツ</t>
    </rPh>
    <rPh sb="7" eb="9">
      <t>キンガク</t>
    </rPh>
    <phoneticPr fontId="1"/>
  </si>
  <si>
    <t>本表は、世帯構成・所得状況を基に目安として保険税を試算するものです。</t>
    <rPh sb="0" eb="1">
      <t>ホン</t>
    </rPh>
    <rPh sb="1" eb="2">
      <t>オモテ</t>
    </rPh>
    <rPh sb="4" eb="6">
      <t>セタイ</t>
    </rPh>
    <rPh sb="6" eb="8">
      <t>コウセイ</t>
    </rPh>
    <rPh sb="9" eb="11">
      <t>ショトク</t>
    </rPh>
    <rPh sb="11" eb="13">
      <t>ジョウキョウ</t>
    </rPh>
    <rPh sb="14" eb="15">
      <t>モト</t>
    </rPh>
    <rPh sb="16" eb="18">
      <t>メヤス</t>
    </rPh>
    <rPh sb="25" eb="27">
      <t>シサン</t>
    </rPh>
    <phoneticPr fontId="1"/>
  </si>
  <si>
    <t>試算された金額は実際に決定する保険税額を保障するものではありませんので、ご了承ください。</t>
    <rPh sb="0" eb="2">
      <t>シサン</t>
    </rPh>
    <rPh sb="5" eb="7">
      <t>キンガク</t>
    </rPh>
    <rPh sb="8" eb="10">
      <t>ジッサイ</t>
    </rPh>
    <rPh sb="11" eb="13">
      <t>ケッテイ</t>
    </rPh>
    <rPh sb="15" eb="17">
      <t>ホケン</t>
    </rPh>
    <rPh sb="17" eb="19">
      <t>ゼイガク</t>
    </rPh>
    <rPh sb="20" eb="22">
      <t>ホショウ</t>
    </rPh>
    <rPh sb="37" eb="39">
      <t>リョウショウ</t>
    </rPh>
    <phoneticPr fontId="1"/>
  </si>
  <si>
    <t>給与所得
※１</t>
    <rPh sb="0" eb="2">
      <t>キュウヨ</t>
    </rPh>
    <rPh sb="2" eb="4">
      <t>ショトク</t>
    </rPh>
    <phoneticPr fontId="1"/>
  </si>
  <si>
    <r>
      <t xml:space="preserve">2026年4月2日現在6歳未満（未就学児）
</t>
    </r>
    <r>
      <rPr>
        <sz val="7.5"/>
        <color rgb="FF002060"/>
        <rFont val="HG創英角ｺﾞｼｯｸUB"/>
        <family val="3"/>
        <charset val="128"/>
      </rPr>
      <t>該当は「1」
非該当は「0」</t>
    </r>
    <r>
      <rPr>
        <sz val="7.5"/>
        <color theme="1"/>
        <rFont val="HG創英角ｺﾞｼｯｸUB"/>
        <family val="3"/>
        <charset val="128"/>
      </rPr>
      <t xml:space="preserve">
※３</t>
    </r>
    <rPh sb="4" eb="5">
      <t>ネン</t>
    </rPh>
    <rPh sb="6" eb="7">
      <t>ガツ</t>
    </rPh>
    <rPh sb="8" eb="9">
      <t>ニチ</t>
    </rPh>
    <rPh sb="9" eb="11">
      <t>ゲンザイ</t>
    </rPh>
    <rPh sb="12" eb="13">
      <t>サイ</t>
    </rPh>
    <rPh sb="13" eb="15">
      <t>ミマン</t>
    </rPh>
    <rPh sb="16" eb="19">
      <t>ミシュウガク</t>
    </rPh>
    <rPh sb="19" eb="20">
      <t>ジ</t>
    </rPh>
    <rPh sb="22" eb="24">
      <t>ガイトウ</t>
    </rPh>
    <rPh sb="29" eb="32">
      <t>ヒガイトウ</t>
    </rPh>
    <phoneticPr fontId="1"/>
  </si>
  <si>
    <r>
      <t xml:space="preserve">軽減判定所得
</t>
    </r>
    <r>
      <rPr>
        <sz val="9"/>
        <color rgb="FF002060"/>
        <rFont val="HG創英角ｺﾞｼｯｸUB"/>
        <family val="3"/>
        <charset val="128"/>
      </rPr>
      <t>※５</t>
    </r>
    <rPh sb="0" eb="2">
      <t>ケイゲン</t>
    </rPh>
    <rPh sb="2" eb="4">
      <t>ハンテイ</t>
    </rPh>
    <rPh sb="4" eb="6">
      <t>ショトク</t>
    </rPh>
    <phoneticPr fontId="1"/>
  </si>
  <si>
    <r>
      <t xml:space="preserve">40歳～
64歳
</t>
    </r>
    <r>
      <rPr>
        <sz val="8"/>
        <color rgb="FF002060"/>
        <rFont val="HG創英角ｺﾞｼｯｸUB"/>
        <family val="3"/>
        <charset val="128"/>
      </rPr>
      <t>該当は「1」
非該当は「0」</t>
    </r>
    <rPh sb="2" eb="3">
      <t>サイ</t>
    </rPh>
    <rPh sb="7" eb="8">
      <t>サイ</t>
    </rPh>
    <rPh sb="9" eb="11">
      <t>ガイトウ</t>
    </rPh>
    <rPh sb="16" eb="19">
      <t>ヒガイトウ</t>
    </rPh>
    <phoneticPr fontId="1"/>
  </si>
  <si>
    <r>
      <t xml:space="preserve">2026年4月2日現在6歳以上18歳未満
</t>
    </r>
    <r>
      <rPr>
        <sz val="7.5"/>
        <color rgb="FF002060"/>
        <rFont val="HG創英角ｺﾞｼｯｸUB"/>
        <family val="3"/>
        <charset val="128"/>
      </rPr>
      <t xml:space="preserve">該当は「1」
非該当は「0」
</t>
    </r>
    <r>
      <rPr>
        <sz val="7.5"/>
        <color theme="1"/>
        <rFont val="HG創英角ｺﾞｼｯｸUB"/>
        <family val="3"/>
        <charset val="128"/>
      </rPr>
      <t>※４</t>
    </r>
    <rPh sb="4" eb="5">
      <t>ネン</t>
    </rPh>
    <rPh sb="6" eb="7">
      <t>ガツ</t>
    </rPh>
    <rPh sb="8" eb="9">
      <t>ニチ</t>
    </rPh>
    <rPh sb="9" eb="11">
      <t>ゲンザイ</t>
    </rPh>
    <rPh sb="12" eb="13">
      <t>サイ</t>
    </rPh>
    <rPh sb="13" eb="15">
      <t>イジョウ</t>
    </rPh>
    <rPh sb="17" eb="18">
      <t>サイ</t>
    </rPh>
    <rPh sb="18" eb="20">
      <t>ミマン</t>
    </rPh>
    <rPh sb="21" eb="23">
      <t>ガイトウ</t>
    </rPh>
    <phoneticPr fontId="1"/>
  </si>
  <si>
    <t xml:space="preserve">※４　未就学児を除く18歳未満（18歳に達する日以後最初の3月31日以前である被保険者）に該当する場合、 </t>
    <rPh sb="3" eb="7">
      <t>ミシュウガクジ</t>
    </rPh>
    <rPh sb="8" eb="9">
      <t>ノゾ</t>
    </rPh>
    <rPh sb="12" eb="15">
      <t>サイミマン</t>
    </rPh>
    <rPh sb="18" eb="19">
      <t>サイ</t>
    </rPh>
    <rPh sb="20" eb="21">
      <t>タッ</t>
    </rPh>
    <rPh sb="23" eb="24">
      <t>ヒ</t>
    </rPh>
    <rPh sb="24" eb="26">
      <t>イゴ</t>
    </rPh>
    <rPh sb="26" eb="28">
      <t>サイショ</t>
    </rPh>
    <rPh sb="30" eb="31">
      <t>ガツ</t>
    </rPh>
    <rPh sb="33" eb="34">
      <t>ニチ</t>
    </rPh>
    <rPh sb="34" eb="36">
      <t>イゼン</t>
    </rPh>
    <rPh sb="39" eb="43">
      <t>ヒホケンシャ</t>
    </rPh>
    <rPh sb="45" eb="47">
      <t>ガイトウ</t>
    </rPh>
    <rPh sb="49" eb="51">
      <t>バアイ</t>
    </rPh>
    <phoneticPr fontId="1"/>
  </si>
  <si>
    <t xml:space="preserve"> 保険税のうち、子ども・子育て支援金分の均等割額はかかりません。</t>
    <phoneticPr fontId="1"/>
  </si>
  <si>
    <t xml:space="preserve"> また、保険税のうち、子ども・子育て支援金分の均等割額はかかりません。</t>
    <rPh sb="4" eb="7">
      <t>ホケンゼイ</t>
    </rPh>
    <rPh sb="11" eb="12">
      <t>コ</t>
    </rPh>
    <rPh sb="15" eb="17">
      <t>コソダ</t>
    </rPh>
    <rPh sb="18" eb="20">
      <t>シエン</t>
    </rPh>
    <rPh sb="20" eb="21">
      <t>キン</t>
    </rPh>
    <rPh sb="21" eb="22">
      <t>ブン</t>
    </rPh>
    <rPh sb="23" eb="27">
      <t>キントウワリガク</t>
    </rPh>
    <phoneticPr fontId="1"/>
  </si>
  <si>
    <t>※５  軽減判定所得は、2026年の1月1日現在65歳以上の方の年金所得については15万円（年金所得が15万円未満の場合は年金所得金額）</t>
    <phoneticPr fontId="1"/>
  </si>
  <si>
    <t xml:space="preserve">    それぞれB～H列に入力してください。なお、F～H列には、収入金額ではなく所得金額を入力してください。</t>
    <rPh sb="28" eb="29">
      <t>レツ</t>
    </rPh>
    <rPh sb="32" eb="36">
      <t>シュウニュウキンガク</t>
    </rPh>
    <rPh sb="40" eb="44">
      <t>ショトクキンガク</t>
    </rPh>
    <rPh sb="45" eb="47">
      <t>ニュウリョク</t>
    </rPh>
    <phoneticPr fontId="1"/>
  </si>
  <si>
    <r>
      <t>給与収入額から給与所得額を求める場合　　　　　</t>
    </r>
    <r>
      <rPr>
        <b/>
        <sz val="12"/>
        <color rgb="FFFF0000"/>
        <rFont val="ＭＳ Ｐゴシック"/>
        <family val="3"/>
        <charset val="128"/>
      </rPr>
      <t>★黄色のセル内に収入額を入力</t>
    </r>
    <phoneticPr fontId="1"/>
  </si>
  <si>
    <t>年金収入額から雑所得（年金所得）を求める場合</t>
    <rPh sb="0" eb="2">
      <t>ネンキン</t>
    </rPh>
    <rPh sb="2" eb="4">
      <t>シュウニュウ</t>
    </rPh>
    <rPh sb="4" eb="5">
      <t>ガク</t>
    </rPh>
    <rPh sb="7" eb="10">
      <t>ザツショトク</t>
    </rPh>
    <rPh sb="11" eb="13">
      <t>ネンキン</t>
    </rPh>
    <rPh sb="13" eb="15">
      <t>ショトク</t>
    </rPh>
    <rPh sb="17" eb="18">
      <t>モト</t>
    </rPh>
    <rPh sb="20" eb="22">
      <t>バアイ</t>
    </rPh>
    <phoneticPr fontId="1"/>
  </si>
  <si>
    <r>
      <rPr>
        <b/>
        <sz val="11"/>
        <color theme="1"/>
        <rFont val="ＭＳ Ｐゴシック"/>
        <family val="3"/>
        <charset val="128"/>
      </rPr>
      <t>年金</t>
    </r>
    <r>
      <rPr>
        <b/>
        <sz val="11"/>
        <color rgb="FFFF0000"/>
        <rFont val="ＭＳ Ｐゴシック"/>
        <family val="3"/>
        <charset val="128"/>
      </rPr>
      <t>65歳以上</t>
    </r>
    <r>
      <rPr>
        <b/>
        <sz val="11"/>
        <color theme="1"/>
        <rFont val="ＭＳ Ｐゴシック"/>
        <family val="3"/>
        <charset val="128"/>
      </rPr>
      <t>（1月1日時点）</t>
    </r>
    <r>
      <rPr>
        <b/>
        <sz val="11"/>
        <color rgb="FFFF0000"/>
        <rFont val="ＭＳ Ｐゴシック"/>
        <family val="3"/>
        <charset val="128"/>
      </rPr>
      <t>　※年金以外の所得額の合計が1,000万円以下の場合</t>
    </r>
    <rPh sb="0" eb="2">
      <t>ネンキン</t>
    </rPh>
    <rPh sb="4" eb="5">
      <t>サイ</t>
    </rPh>
    <rPh sb="5" eb="7">
      <t>イジョウ</t>
    </rPh>
    <rPh sb="9" eb="10">
      <t>ガツ</t>
    </rPh>
    <rPh sb="11" eb="12">
      <t>ニチ</t>
    </rPh>
    <rPh sb="12" eb="14">
      <t>ジテン</t>
    </rPh>
    <rPh sb="39" eb="41">
      <t>バアイ</t>
    </rPh>
    <phoneticPr fontId="1"/>
  </si>
  <si>
    <r>
      <rPr>
        <b/>
        <sz val="11"/>
        <color theme="1"/>
        <rFont val="ＭＳ Ｐゴシック"/>
        <family val="3"/>
        <charset val="128"/>
      </rPr>
      <t>年金</t>
    </r>
    <r>
      <rPr>
        <b/>
        <sz val="11"/>
        <color rgb="FFFF0000"/>
        <rFont val="ＭＳ Ｐゴシック"/>
        <family val="3"/>
        <charset val="128"/>
      </rPr>
      <t>65歳未満</t>
    </r>
    <r>
      <rPr>
        <b/>
        <sz val="11"/>
        <color theme="1"/>
        <rFont val="ＭＳ Ｐゴシック"/>
        <family val="3"/>
        <charset val="128"/>
      </rPr>
      <t>（1月1日時点）</t>
    </r>
    <r>
      <rPr>
        <b/>
        <sz val="11"/>
        <color rgb="FFFF0000"/>
        <rFont val="ＭＳ Ｐゴシック"/>
        <family val="3"/>
        <charset val="128"/>
      </rPr>
      <t>　※年金以外の所得額の合計が1,000万円以下の場合</t>
    </r>
    <rPh sb="0" eb="2">
      <t>ネンキン</t>
    </rPh>
    <rPh sb="4" eb="5">
      <t>サイ</t>
    </rPh>
    <rPh sb="5" eb="7">
      <t>ミマン</t>
    </rPh>
    <rPh sb="39" eb="41">
      <t>バアイ</t>
    </rPh>
    <phoneticPr fontId="1"/>
  </si>
  <si>
    <r>
      <rPr>
        <b/>
        <sz val="11"/>
        <color theme="1"/>
        <rFont val="ＭＳ Ｐゴシック"/>
        <family val="3"/>
        <charset val="128"/>
      </rPr>
      <t>年金</t>
    </r>
    <r>
      <rPr>
        <b/>
        <sz val="11"/>
        <color rgb="FFFF0000"/>
        <rFont val="ＭＳ Ｐゴシック"/>
        <family val="3"/>
        <charset val="128"/>
      </rPr>
      <t>65歳以上</t>
    </r>
    <r>
      <rPr>
        <b/>
        <sz val="11"/>
        <color theme="1"/>
        <rFont val="ＭＳ Ｐゴシック"/>
        <family val="3"/>
        <charset val="128"/>
      </rPr>
      <t>（1月1日時点）</t>
    </r>
    <r>
      <rPr>
        <b/>
        <sz val="11"/>
        <color rgb="FFFF0000"/>
        <rFont val="ＭＳ Ｐゴシック"/>
        <family val="3"/>
        <charset val="128"/>
      </rPr>
      <t>　※年金以外の所得額の合計が1,000万円超2,000万円以下の場合</t>
    </r>
    <rPh sb="0" eb="2">
      <t>ネンキン</t>
    </rPh>
    <rPh sb="4" eb="5">
      <t>サイ</t>
    </rPh>
    <rPh sb="5" eb="7">
      <t>イジョウ</t>
    </rPh>
    <rPh sb="9" eb="10">
      <t>ガツ</t>
    </rPh>
    <rPh sb="11" eb="12">
      <t>ニチ</t>
    </rPh>
    <rPh sb="12" eb="14">
      <t>ジテン</t>
    </rPh>
    <rPh sb="47" eb="49">
      <t>バアイ</t>
    </rPh>
    <phoneticPr fontId="1"/>
  </si>
  <si>
    <r>
      <t>年金</t>
    </r>
    <r>
      <rPr>
        <b/>
        <sz val="11"/>
        <color rgb="FFFF0000"/>
        <rFont val="ＭＳ Ｐゴシック"/>
        <family val="3"/>
        <charset val="128"/>
      </rPr>
      <t>65歳未満</t>
    </r>
    <r>
      <rPr>
        <b/>
        <sz val="11"/>
        <color theme="1"/>
        <rFont val="ＭＳ Ｐゴシック"/>
        <family val="3"/>
        <charset val="128"/>
      </rPr>
      <t>（1月1日時点）</t>
    </r>
    <r>
      <rPr>
        <b/>
        <sz val="11"/>
        <color rgb="FFFF0000"/>
        <rFont val="ＭＳ Ｐゴシック"/>
        <family val="3"/>
        <charset val="128"/>
      </rPr>
      <t>　※年金以外の所得額の合計が1,000万円超2,000万円以下の場合　</t>
    </r>
    <rPh sb="0" eb="2">
      <t>ネンキン</t>
    </rPh>
    <rPh sb="4" eb="5">
      <t>サイ</t>
    </rPh>
    <rPh sb="5" eb="7">
      <t>ミマン</t>
    </rPh>
    <rPh sb="47" eb="49">
      <t>バアイ</t>
    </rPh>
    <phoneticPr fontId="1"/>
  </si>
  <si>
    <r>
      <t>年金</t>
    </r>
    <r>
      <rPr>
        <b/>
        <sz val="11"/>
        <color rgb="FFFF0000"/>
        <rFont val="ＭＳ Ｐゴシック"/>
        <family val="3"/>
        <charset val="128"/>
      </rPr>
      <t>65歳以上</t>
    </r>
    <r>
      <rPr>
        <b/>
        <sz val="11"/>
        <rFont val="ＭＳ Ｐゴシック"/>
        <family val="3"/>
        <charset val="128"/>
      </rPr>
      <t>（1月1日時点）　</t>
    </r>
    <r>
      <rPr>
        <b/>
        <sz val="11"/>
        <color rgb="FFFF0000"/>
        <rFont val="ＭＳ Ｐゴシック"/>
        <family val="3"/>
        <charset val="128"/>
      </rPr>
      <t>※年金以外の所得額の合計が2,000万円超の場合</t>
    </r>
    <rPh sb="0" eb="2">
      <t>ネンキン</t>
    </rPh>
    <rPh sb="4" eb="5">
      <t>サイ</t>
    </rPh>
    <rPh sb="5" eb="7">
      <t>イジョウ</t>
    </rPh>
    <rPh sb="9" eb="10">
      <t>ガツ</t>
    </rPh>
    <rPh sb="11" eb="12">
      <t>ニチ</t>
    </rPh>
    <rPh sb="12" eb="14">
      <t>ジテン</t>
    </rPh>
    <rPh sb="38" eb="40">
      <t>バアイ</t>
    </rPh>
    <phoneticPr fontId="1"/>
  </si>
  <si>
    <r>
      <t>年金</t>
    </r>
    <r>
      <rPr>
        <b/>
        <sz val="11"/>
        <color rgb="FFFF0000"/>
        <rFont val="ＭＳ Ｐゴシック"/>
        <family val="3"/>
        <charset val="128"/>
      </rPr>
      <t>65歳未満</t>
    </r>
    <r>
      <rPr>
        <b/>
        <sz val="11"/>
        <rFont val="ＭＳ Ｐゴシック"/>
        <family val="3"/>
        <charset val="128"/>
      </rPr>
      <t>（1月1日時点）　</t>
    </r>
    <r>
      <rPr>
        <b/>
        <sz val="11"/>
        <color rgb="FFFF0000"/>
        <rFont val="ＭＳ Ｐゴシック"/>
        <family val="3"/>
        <charset val="128"/>
      </rPr>
      <t>※年金以外の所得額の合計が2,000万円超の場合</t>
    </r>
    <rPh sb="0" eb="2">
      <t>ネンキン</t>
    </rPh>
    <rPh sb="4" eb="5">
      <t>サイ</t>
    </rPh>
    <rPh sb="5" eb="7">
      <t>ミマン</t>
    </rPh>
    <rPh sb="38" eb="40">
      <t>バアイ</t>
    </rPh>
    <phoneticPr fontId="1"/>
  </si>
  <si>
    <r>
      <t xml:space="preserve">2026年1月1日
現在65歳以上
</t>
    </r>
    <r>
      <rPr>
        <sz val="7.5"/>
        <color rgb="FF002060"/>
        <rFont val="HG創英角ｺﾞｼｯｸUB"/>
        <family val="3"/>
        <charset val="128"/>
      </rPr>
      <t>該当は「1」
非該当は「0」</t>
    </r>
    <rPh sb="4" eb="5">
      <t>ネン</t>
    </rPh>
    <rPh sb="25" eb="28">
      <t>ヒガイトウ</t>
    </rPh>
    <phoneticPr fontId="1"/>
  </si>
  <si>
    <t xml:space="preserve"> 擬制世帯主となる方の所得を、F～H列13行に入力してください。</t>
    <phoneticPr fontId="1"/>
  </si>
  <si>
    <t xml:space="preserve"> 擬制世帯主に該当する場合は、C列13行のタブに2026年1月1日現在65歳以上に該当する場合は「1」を、非該当の場合は「0」を入力した上で</t>
    <rPh sb="16" eb="17">
      <t>レツ</t>
    </rPh>
    <rPh sb="19" eb="20">
      <t>ギョウ</t>
    </rPh>
    <rPh sb="33" eb="35">
      <t>ゲンザイ</t>
    </rPh>
    <rPh sb="37" eb="38">
      <t>サイ</t>
    </rPh>
    <rPh sb="38" eb="40">
      <t>イジョウ</t>
    </rPh>
    <rPh sb="41" eb="43">
      <t>ガイトウ</t>
    </rPh>
    <rPh sb="45" eb="47">
      <t>バアイ</t>
    </rPh>
    <rPh sb="53" eb="56">
      <t>ヒガイトウ</t>
    </rPh>
    <rPh sb="57" eb="59">
      <t>バアイ</t>
    </rPh>
    <rPh sb="64" eb="66">
      <t>ニュウリョク</t>
    </rPh>
    <rPh sb="68" eb="69">
      <t>ウエ</t>
    </rPh>
    <phoneticPr fontId="1"/>
  </si>
  <si>
    <t>※３　未就学児（6歳に達する日以後の最初の3月31日以前である被保険者）に該当する場合、 均等割額が5割軽減されます。</t>
    <rPh sb="3" eb="7">
      <t>ミシュウガクジ</t>
    </rPh>
    <rPh sb="31" eb="35">
      <t>ヒホケンシャ</t>
    </rPh>
    <rPh sb="37" eb="39">
      <t>ガイトウ</t>
    </rPh>
    <rPh sb="41" eb="4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</si>
</sst>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x14ac:knownFonts="1">
    <font>
      <sz val="11"/>
      <name val="ＭＳ Ｐゴシック"/>
      <family val="3"/>
      <charset val="128"/>
    </font>
    <font>
      <sz val="6"/>
      <name val="ＭＳ Ｐゴシック"/>
      <family val="3"/>
      <charset val="128"/>
    </font>
    <font>
      <sz val="11"/>
      <name val="HG創英角ｺﾞｼｯｸUB"/>
      <family val="3"/>
      <charset val="128"/>
    </font>
    <font>
      <sz val="10"/>
      <name val="HG創英角ｺﾞｼｯｸUB"/>
      <family val="3"/>
      <charset val="128"/>
    </font>
    <font>
      <sz val="8"/>
      <name val="HG創英角ｺﾞｼｯｸUB"/>
      <family val="3"/>
      <charset val="128"/>
    </font>
    <font>
      <sz val="6"/>
      <name val="HG創英角ｺﾞｼｯｸUB"/>
      <family val="3"/>
      <charset val="128"/>
    </font>
    <font>
      <sz val="9"/>
      <name val="HG創英角ｺﾞｼｯｸUB"/>
      <family val="3"/>
      <charset val="128"/>
    </font>
    <font>
      <sz val="7"/>
      <name val="HG創英角ｺﾞｼｯｸUB"/>
      <family val="3"/>
      <charset val="128"/>
    </font>
    <font>
      <sz val="9"/>
      <color indexed="9"/>
      <name val="HG創英角ｺﾞｼｯｸUB"/>
      <family val="3"/>
      <charset val="128"/>
    </font>
    <font>
      <b/>
      <sz val="10"/>
      <name val="HG創英角ｺﾞｼｯｸUB"/>
      <family val="3"/>
      <charset val="128"/>
    </font>
    <font>
      <sz val="11"/>
      <color indexed="22"/>
      <name val="ＭＳ Ｐゴシック"/>
      <family val="3"/>
      <charset val="128"/>
    </font>
    <font>
      <sz val="11"/>
      <color indexed="46"/>
      <name val="ＭＳ Ｐゴシック"/>
      <family val="3"/>
      <charset val="128"/>
    </font>
    <font>
      <sz val="9"/>
      <color theme="0"/>
      <name val="HG創英角ｺﾞｼｯｸUB"/>
      <family val="3"/>
      <charset val="128"/>
    </font>
    <font>
      <sz val="9"/>
      <color rgb="FFFF0000"/>
      <name val="HG創英角ｺﾞｼｯｸUB"/>
      <family val="3"/>
      <charset val="128"/>
    </font>
    <font>
      <sz val="11"/>
      <color theme="0" tint="-0.34998626667073579"/>
      <name val="ＭＳ Ｐゴシック"/>
      <family val="3"/>
      <charset val="128"/>
    </font>
    <font>
      <sz val="11"/>
      <name val="ＭＳ Ｐゴシック"/>
      <family val="3"/>
      <charset val="128"/>
    </font>
    <font>
      <sz val="11"/>
      <color theme="1"/>
      <name val="ＭＳ Ｐゴシック"/>
      <family val="3"/>
      <charset val="128"/>
    </font>
    <font>
      <sz val="10"/>
      <name val="メイリオ"/>
      <family val="3"/>
      <charset val="128"/>
    </font>
    <font>
      <b/>
      <u/>
      <sz val="11"/>
      <color theme="1"/>
      <name val="游ゴシック"/>
      <family val="3"/>
      <charset val="128"/>
    </font>
    <font>
      <b/>
      <sz val="12"/>
      <name val="ＭＳ Ｐゴシック"/>
      <family val="3"/>
      <charset val="128"/>
    </font>
    <font>
      <b/>
      <sz val="11"/>
      <name val="ＭＳ Ｐゴシック"/>
      <family val="3"/>
      <charset val="128"/>
    </font>
    <font>
      <b/>
      <sz val="9"/>
      <color indexed="81"/>
      <name val="ＭＳ Ｐゴシック"/>
      <family val="3"/>
      <charset val="128"/>
    </font>
    <font>
      <sz val="10"/>
      <color theme="1"/>
      <name val="HG創英角ｺﾞｼｯｸUB"/>
      <family val="3"/>
      <charset val="128"/>
    </font>
    <font>
      <sz val="8"/>
      <color theme="1"/>
      <name val="HG創英角ｺﾞｼｯｸUB"/>
      <family val="3"/>
      <charset val="128"/>
    </font>
    <font>
      <sz val="9"/>
      <color theme="1"/>
      <name val="HG創英角ｺﾞｼｯｸUB"/>
      <family val="3"/>
      <charset val="128"/>
    </font>
    <font>
      <sz val="10"/>
      <color rgb="FFFF0000"/>
      <name val="HG創英角ｺﾞｼｯｸUB"/>
      <family val="3"/>
      <charset val="128"/>
    </font>
    <font>
      <sz val="7.5"/>
      <name val="HG創英角ｺﾞｼｯｸUB"/>
      <family val="3"/>
      <charset val="128"/>
    </font>
    <font>
      <sz val="14"/>
      <name val="HG創英角ｺﾞｼｯｸUB"/>
      <family val="3"/>
      <charset val="128"/>
    </font>
    <font>
      <sz val="11"/>
      <color rgb="FFFF0000"/>
      <name val="ＭＳ Ｐゴシック"/>
      <family val="3"/>
      <charset val="128"/>
    </font>
    <font>
      <sz val="12"/>
      <name val="HG創英角ｺﾞｼｯｸUB"/>
      <family val="3"/>
      <charset val="128"/>
    </font>
    <font>
      <sz val="7"/>
      <color rgb="FFFF0000"/>
      <name val="HG創英角ｺﾞｼｯｸUB"/>
      <family val="3"/>
      <charset val="128"/>
    </font>
    <font>
      <u/>
      <sz val="14"/>
      <name val="HG創英角ｺﾞｼｯｸUB"/>
      <family val="3"/>
      <charset val="128"/>
    </font>
    <font>
      <sz val="12"/>
      <color rgb="FFFF0000"/>
      <name val="HG創英角ｺﾞｼｯｸUB"/>
      <family val="3"/>
      <charset val="128"/>
    </font>
    <font>
      <sz val="8"/>
      <color rgb="FF002060"/>
      <name val="HG創英角ｺﾞｼｯｸUB"/>
      <family val="3"/>
      <charset val="128"/>
    </font>
    <font>
      <sz val="7.5"/>
      <color rgb="FF002060"/>
      <name val="HG創英角ｺﾞｼｯｸUB"/>
      <family val="3"/>
      <charset val="128"/>
    </font>
    <font>
      <u/>
      <sz val="11"/>
      <color theme="10"/>
      <name val="ＭＳ Ｐゴシック"/>
      <family val="3"/>
      <charset val="128"/>
    </font>
    <font>
      <u/>
      <sz val="9"/>
      <color rgb="FFFF0000"/>
      <name val="HGS創英角ｺﾞｼｯｸUB"/>
      <family val="3"/>
      <charset val="128"/>
    </font>
    <font>
      <sz val="14"/>
      <color theme="1"/>
      <name val="HG創英角ｺﾞｼｯｸUB"/>
      <family val="3"/>
      <charset val="128"/>
    </font>
    <font>
      <sz val="7.5"/>
      <color theme="1"/>
      <name val="HG創英角ｺﾞｼｯｸUB"/>
      <family val="3"/>
      <charset val="128"/>
    </font>
    <font>
      <sz val="9"/>
      <color rgb="FF002060"/>
      <name val="HG創英角ｺﾞｼｯｸUB"/>
      <family val="3"/>
      <charset val="128"/>
    </font>
    <font>
      <b/>
      <sz val="12"/>
      <color rgb="FFFF0000"/>
      <name val="ＭＳ Ｐゴシック"/>
      <family val="3"/>
      <charset val="128"/>
    </font>
    <font>
      <b/>
      <sz val="11"/>
      <color rgb="FFFF0000"/>
      <name val="ＭＳ Ｐゴシック"/>
      <family val="3"/>
      <charset val="128"/>
    </font>
    <font>
      <b/>
      <sz val="11"/>
      <color theme="1"/>
      <name val="ＭＳ Ｐゴシック"/>
      <family val="3"/>
      <charset val="128"/>
    </font>
  </fonts>
  <fills count="13">
    <fill>
      <patternFill patternType="none"/>
    </fill>
    <fill>
      <patternFill patternType="gray125"/>
    </fill>
    <fill>
      <patternFill patternType="solid">
        <fgColor indexed="55"/>
        <bgColor indexed="64"/>
      </patternFill>
    </fill>
    <fill>
      <patternFill patternType="solid">
        <fgColor theme="7" tint="0.59999389629810485"/>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FFE7FF"/>
        <bgColor indexed="64"/>
      </patternFill>
    </fill>
    <fill>
      <patternFill patternType="solid">
        <fgColor rgb="FFFFE699"/>
        <bgColor indexed="64"/>
      </patternFill>
    </fill>
    <fill>
      <patternFill patternType="solid">
        <fgColor rgb="FFDDFFDF"/>
        <bgColor indexed="64"/>
      </patternFill>
    </fill>
    <fill>
      <patternFill patternType="solid">
        <fgColor rgb="FFFFFF66"/>
        <bgColor indexed="64"/>
      </patternFill>
    </fill>
    <fill>
      <patternFill patternType="solid">
        <fgColor theme="4" tint="0.79998168889431442"/>
        <bgColor indexed="64"/>
      </patternFill>
    </fill>
    <fill>
      <patternFill patternType="solid">
        <fgColor theme="5" tint="0.79998168889431442"/>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296">
    <xf numFmtId="0" fontId="0" fillId="0" borderId="0" xfId="0">
      <alignment vertical="center"/>
    </xf>
    <xf numFmtId="0" fontId="3" fillId="0" borderId="0" xfId="0" applyFont="1">
      <alignment vertical="center"/>
    </xf>
    <xf numFmtId="0" fontId="6" fillId="0" borderId="0" xfId="0" applyFont="1" applyAlignment="1">
      <alignment vertical="center" wrapText="1"/>
    </xf>
    <xf numFmtId="0" fontId="6" fillId="0" borderId="3" xfId="0" applyFont="1" applyBorder="1" applyAlignment="1">
      <alignment horizontal="center" vertical="center" wrapText="1"/>
    </xf>
    <xf numFmtId="3" fontId="3" fillId="0" borderId="6" xfId="0" applyNumberFormat="1"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6" fillId="0" borderId="5" xfId="0" applyFont="1" applyBorder="1">
      <alignment vertical="center"/>
    </xf>
    <xf numFmtId="0" fontId="3" fillId="0" borderId="11" xfId="0" applyFont="1" applyBorder="1">
      <alignment vertical="center"/>
    </xf>
    <xf numFmtId="0" fontId="3" fillId="0" borderId="12" xfId="0" applyFont="1" applyBorder="1">
      <alignment vertical="center"/>
    </xf>
    <xf numFmtId="0" fontId="7" fillId="0" borderId="5" xfId="0" applyFont="1" applyBorder="1">
      <alignment vertical="center"/>
    </xf>
    <xf numFmtId="3" fontId="3" fillId="0" borderId="16" xfId="0" applyNumberFormat="1"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3" fontId="3" fillId="0" borderId="0" xfId="0" applyNumberFormat="1" applyFont="1">
      <alignment vertical="center"/>
    </xf>
    <xf numFmtId="0" fontId="3" fillId="0" borderId="0" xfId="0" applyFont="1" applyAlignment="1">
      <alignment vertical="center" wrapText="1"/>
    </xf>
    <xf numFmtId="176" fontId="0" fillId="0" borderId="0" xfId="0" applyNumberFormat="1">
      <alignment vertical="center"/>
    </xf>
    <xf numFmtId="176" fontId="10" fillId="0" borderId="0" xfId="0" applyNumberFormat="1" applyFont="1">
      <alignment vertical="center"/>
    </xf>
    <xf numFmtId="176" fontId="11" fillId="0" borderId="0" xfId="0" applyNumberFormat="1" applyFont="1">
      <alignment vertical="center"/>
    </xf>
    <xf numFmtId="0" fontId="3" fillId="0" borderId="5" xfId="0" applyFont="1" applyBorder="1">
      <alignment vertical="center"/>
    </xf>
    <xf numFmtId="10" fontId="3" fillId="0" borderId="5" xfId="2" applyNumberFormat="1" applyFont="1" applyBorder="1">
      <alignment vertical="center"/>
    </xf>
    <xf numFmtId="10" fontId="3" fillId="0" borderId="17" xfId="2" applyNumberFormat="1" applyFont="1" applyBorder="1" applyAlignment="1">
      <alignment vertical="center"/>
    </xf>
    <xf numFmtId="176" fontId="14" fillId="0" borderId="0" xfId="0" applyNumberFormat="1" applyFont="1" applyAlignment="1">
      <alignment horizontal="center" vertical="center"/>
    </xf>
    <xf numFmtId="176" fontId="14" fillId="0" borderId="0" xfId="0" applyNumberFormat="1" applyFont="1" applyAlignment="1">
      <alignment horizontal="right" vertical="center"/>
    </xf>
    <xf numFmtId="38" fontId="14" fillId="0" borderId="0" xfId="1" applyFont="1" applyFill="1" applyAlignment="1">
      <alignment horizontal="center" vertical="center"/>
    </xf>
    <xf numFmtId="38" fontId="16" fillId="0" borderId="0" xfId="1" applyFont="1" applyFill="1" applyAlignment="1" applyProtection="1">
      <alignment horizontal="center" vertical="center"/>
    </xf>
    <xf numFmtId="38" fontId="3" fillId="0" borderId="5" xfId="1" applyFont="1" applyBorder="1">
      <alignment vertical="center"/>
    </xf>
    <xf numFmtId="38" fontId="3" fillId="0" borderId="5" xfId="1" applyFont="1" applyBorder="1" applyAlignment="1">
      <alignment vertical="center"/>
    </xf>
    <xf numFmtId="38" fontId="3" fillId="0" borderId="5" xfId="1" applyFont="1" applyBorder="1" applyAlignment="1">
      <alignment horizontal="center" vertical="center" shrinkToFit="1"/>
    </xf>
    <xf numFmtId="38" fontId="17" fillId="0" borderId="5" xfId="1" applyFont="1" applyBorder="1">
      <alignment vertical="center"/>
    </xf>
    <xf numFmtId="38" fontId="17" fillId="0" borderId="47" xfId="1" applyFont="1" applyBorder="1">
      <alignment vertical="center"/>
    </xf>
    <xf numFmtId="176" fontId="16" fillId="0" borderId="0" xfId="0" applyNumberFormat="1" applyFont="1">
      <alignment vertical="center"/>
    </xf>
    <xf numFmtId="38" fontId="16" fillId="4" borderId="41" xfId="1" applyFont="1" applyFill="1" applyBorder="1" applyAlignment="1" applyProtection="1">
      <alignment horizontal="center" vertical="center"/>
    </xf>
    <xf numFmtId="38" fontId="16" fillId="0" borderId="41" xfId="1" applyFont="1" applyFill="1" applyBorder="1" applyAlignment="1" applyProtection="1">
      <alignment horizontal="center" vertical="center"/>
    </xf>
    <xf numFmtId="38" fontId="16" fillId="0" borderId="0" xfId="1" applyFont="1" applyFill="1" applyBorder="1" applyAlignment="1" applyProtection="1">
      <alignment horizontal="center" vertical="center"/>
    </xf>
    <xf numFmtId="3" fontId="22" fillId="0" borderId="0" xfId="0" applyNumberFormat="1" applyFont="1">
      <alignment vertical="center"/>
    </xf>
    <xf numFmtId="0" fontId="22" fillId="0" borderId="0" xfId="0" applyFont="1">
      <alignment vertical="center"/>
    </xf>
    <xf numFmtId="0" fontId="22" fillId="0" borderId="8" xfId="0" applyFont="1" applyBorder="1" applyAlignment="1">
      <alignment vertical="center" wrapText="1"/>
    </xf>
    <xf numFmtId="0" fontId="22" fillId="0" borderId="0" xfId="0" applyFont="1" applyAlignment="1">
      <alignment vertical="center" wrapText="1"/>
    </xf>
    <xf numFmtId="0" fontId="22" fillId="0" borderId="7" xfId="0" applyFont="1" applyBorder="1" applyAlignment="1">
      <alignment vertical="center" wrapText="1"/>
    </xf>
    <xf numFmtId="0" fontId="23" fillId="0" borderId="10" xfId="0" applyFont="1" applyBorder="1">
      <alignment vertical="center"/>
    </xf>
    <xf numFmtId="0" fontId="22" fillId="0" borderId="48" xfId="0" applyFont="1" applyBorder="1">
      <alignment vertical="center"/>
    </xf>
    <xf numFmtId="0" fontId="22" fillId="0" borderId="7" xfId="0" applyFont="1" applyBorder="1" applyAlignment="1">
      <alignment horizontal="center" vertical="center"/>
    </xf>
    <xf numFmtId="0" fontId="22" fillId="0" borderId="8" xfId="0" applyFont="1" applyBorder="1">
      <alignment vertical="center"/>
    </xf>
    <xf numFmtId="0" fontId="23" fillId="0" borderId="19" xfId="0" applyFont="1" applyBorder="1">
      <alignment vertical="center"/>
    </xf>
    <xf numFmtId="0" fontId="22" fillId="0" borderId="18" xfId="0" applyFont="1" applyBorder="1">
      <alignment vertical="center"/>
    </xf>
    <xf numFmtId="0" fontId="22" fillId="0" borderId="32" xfId="0" applyFont="1" applyBorder="1" applyAlignment="1">
      <alignment horizontal="center" vertical="center"/>
    </xf>
    <xf numFmtId="0" fontId="22" fillId="0" borderId="19" xfId="0" applyFont="1" applyBorder="1" applyAlignment="1">
      <alignment horizontal="center" vertical="center"/>
    </xf>
    <xf numFmtId="0" fontId="22" fillId="0" borderId="19" xfId="0" applyFont="1" applyBorder="1">
      <alignment vertical="center"/>
    </xf>
    <xf numFmtId="0" fontId="22" fillId="0" borderId="40" xfId="0" applyFont="1" applyBorder="1">
      <alignment vertical="center"/>
    </xf>
    <xf numFmtId="0" fontId="22" fillId="0" borderId="7" xfId="0" applyFont="1" applyBorder="1">
      <alignment vertical="center"/>
    </xf>
    <xf numFmtId="0" fontId="22" fillId="0" borderId="11" xfId="0" applyFont="1" applyBorder="1">
      <alignment vertical="center"/>
    </xf>
    <xf numFmtId="38" fontId="22" fillId="0" borderId="31" xfId="1" applyFont="1" applyBorder="1">
      <alignment vertical="center"/>
    </xf>
    <xf numFmtId="38" fontId="22" fillId="0" borderId="0" xfId="1" applyFont="1" applyBorder="1">
      <alignment vertical="center"/>
    </xf>
    <xf numFmtId="38" fontId="22" fillId="0" borderId="17" xfId="1" applyFont="1" applyBorder="1">
      <alignment vertical="center"/>
    </xf>
    <xf numFmtId="0" fontId="22" fillId="0" borderId="17" xfId="0" applyFont="1" applyBorder="1">
      <alignment vertical="center"/>
    </xf>
    <xf numFmtId="38" fontId="22" fillId="0" borderId="32" xfId="1" applyFont="1" applyBorder="1">
      <alignment vertical="center"/>
    </xf>
    <xf numFmtId="0" fontId="22" fillId="0" borderId="8" xfId="0" applyFont="1" applyBorder="1" applyAlignment="1">
      <alignment horizontal="center" vertical="center"/>
    </xf>
    <xf numFmtId="0" fontId="22" fillId="0" borderId="19" xfId="0" applyFont="1" applyBorder="1" applyAlignment="1">
      <alignment horizontal="center" vertical="center" shrinkToFit="1"/>
    </xf>
    <xf numFmtId="38" fontId="22" fillId="0" borderId="5" xfId="1" applyFont="1" applyBorder="1">
      <alignment vertical="center"/>
    </xf>
    <xf numFmtId="0" fontId="25" fillId="0" borderId="0" xfId="0" applyFont="1">
      <alignment vertical="center"/>
    </xf>
    <xf numFmtId="0" fontId="30" fillId="0" borderId="0" xfId="0" applyFont="1">
      <alignment vertical="center"/>
    </xf>
    <xf numFmtId="0" fontId="25" fillId="0" borderId="0" xfId="0" applyFont="1" applyAlignment="1">
      <alignment horizontal="right" vertical="center"/>
    </xf>
    <xf numFmtId="0" fontId="3" fillId="10" borderId="5" xfId="0" applyFont="1" applyFill="1" applyBorder="1" applyProtection="1">
      <alignment vertical="center"/>
      <protection locked="0"/>
    </xf>
    <xf numFmtId="3" fontId="3" fillId="10" borderId="4" xfId="0" applyNumberFormat="1" applyFont="1" applyFill="1" applyBorder="1" applyAlignment="1" applyProtection="1">
      <alignment vertical="center" shrinkToFit="1"/>
      <protection locked="0"/>
    </xf>
    <xf numFmtId="3" fontId="3" fillId="10" borderId="5" xfId="0" applyNumberFormat="1" applyFont="1" applyFill="1" applyBorder="1" applyAlignment="1" applyProtection="1">
      <alignment vertical="center" shrinkToFit="1"/>
      <protection locked="0"/>
    </xf>
    <xf numFmtId="0" fontId="6" fillId="10" borderId="4" xfId="0" applyFont="1" applyFill="1" applyBorder="1" applyProtection="1">
      <alignment vertical="center"/>
      <protection locked="0"/>
    </xf>
    <xf numFmtId="3" fontId="4" fillId="10" borderId="46" xfId="0" applyNumberFormat="1" applyFont="1" applyFill="1" applyBorder="1" applyProtection="1">
      <alignment vertical="center"/>
      <protection locked="0"/>
    </xf>
    <xf numFmtId="3" fontId="3" fillId="10" borderId="13" xfId="0" applyNumberFormat="1" applyFont="1" applyFill="1" applyBorder="1" applyAlignment="1" applyProtection="1">
      <alignment vertical="center" shrinkToFit="1"/>
      <protection locked="0"/>
    </xf>
    <xf numFmtId="3" fontId="3" fillId="10" borderId="8" xfId="0" applyNumberFormat="1" applyFont="1" applyFill="1" applyBorder="1" applyAlignment="1" applyProtection="1">
      <alignment vertical="center" shrinkToFit="1"/>
      <protection locked="0"/>
    </xf>
    <xf numFmtId="0" fontId="3" fillId="10" borderId="12" xfId="0" applyFont="1" applyFill="1" applyBorder="1" applyProtection="1">
      <alignment vertical="center"/>
      <protection locked="0"/>
    </xf>
    <xf numFmtId="0" fontId="22" fillId="0" borderId="31" xfId="0" applyFont="1" applyBorder="1" applyAlignment="1">
      <alignment horizontal="center" vertical="center"/>
    </xf>
    <xf numFmtId="0" fontId="22" fillId="0" borderId="10" xfId="0" applyFont="1" applyBorder="1">
      <alignment vertical="center"/>
    </xf>
    <xf numFmtId="0" fontId="23" fillId="0" borderId="0" xfId="0" applyFont="1">
      <alignment vertical="center"/>
    </xf>
    <xf numFmtId="0" fontId="22" fillId="0" borderId="0" xfId="0" applyFont="1" applyAlignment="1">
      <alignment horizontal="center" vertical="center"/>
    </xf>
    <xf numFmtId="40" fontId="29" fillId="0" borderId="0" xfId="1" applyNumberFormat="1" applyFont="1" applyBorder="1" applyAlignment="1">
      <alignment horizontal="center" vertical="center"/>
    </xf>
    <xf numFmtId="38" fontId="29" fillId="0" borderId="0" xfId="1" applyFont="1" applyBorder="1" applyAlignment="1">
      <alignment horizontal="center" vertical="center"/>
    </xf>
    <xf numFmtId="176" fontId="0" fillId="10" borderId="20" xfId="0" applyNumberFormat="1" applyFill="1" applyBorder="1" applyProtection="1">
      <alignment vertical="center"/>
      <protection locked="0"/>
    </xf>
    <xf numFmtId="0" fontId="31" fillId="0" borderId="0" xfId="0" applyFont="1">
      <alignment vertical="center"/>
    </xf>
    <xf numFmtId="0" fontId="2" fillId="0" borderId="0" xfId="0" applyFont="1">
      <alignment vertical="center"/>
    </xf>
    <xf numFmtId="0" fontId="29" fillId="10" borderId="0" xfId="0" applyFont="1" applyFill="1">
      <alignment vertical="center"/>
    </xf>
    <xf numFmtId="0" fontId="3" fillId="10" borderId="0" xfId="0" applyFont="1" applyFill="1">
      <alignment vertical="center"/>
    </xf>
    <xf numFmtId="0" fontId="32" fillId="10" borderId="0" xfId="0" applyFont="1" applyFill="1">
      <alignment vertical="center"/>
    </xf>
    <xf numFmtId="0" fontId="29" fillId="0" borderId="0" xfId="0" applyFont="1">
      <alignment vertical="center"/>
    </xf>
    <xf numFmtId="0" fontId="3" fillId="0" borderId="0" xfId="0" applyFont="1" applyAlignment="1"/>
    <xf numFmtId="0" fontId="3" fillId="11" borderId="1" xfId="0" applyFont="1" applyFill="1" applyBorder="1" applyAlignment="1">
      <alignment horizontal="center" vertical="center"/>
    </xf>
    <xf numFmtId="0" fontId="4" fillId="11" borderId="2" xfId="0" applyFont="1" applyFill="1" applyBorder="1" applyAlignment="1">
      <alignment vertical="center" wrapText="1"/>
    </xf>
    <xf numFmtId="0" fontId="26" fillId="11" borderId="2" xfId="0" applyFont="1" applyFill="1" applyBorder="1" applyAlignment="1">
      <alignment horizontal="left" vertical="center" wrapText="1"/>
    </xf>
    <xf numFmtId="0" fontId="38" fillId="11" borderId="33" xfId="0" applyFont="1" applyFill="1" applyBorder="1" applyAlignment="1">
      <alignment horizontal="left" vertical="center" wrapText="1"/>
    </xf>
    <xf numFmtId="0" fontId="26" fillId="11" borderId="57" xfId="0" applyFont="1" applyFill="1" applyBorder="1" applyAlignment="1">
      <alignment horizontal="left" vertical="center" wrapText="1"/>
    </xf>
    <xf numFmtId="0" fontId="35" fillId="11" borderId="1" xfId="3" applyFill="1" applyBorder="1" applyAlignment="1" applyProtection="1">
      <alignment horizontal="center" vertical="center" wrapText="1"/>
    </xf>
    <xf numFmtId="0" fontId="35" fillId="11" borderId="2" xfId="3" applyFill="1" applyBorder="1" applyAlignment="1" applyProtection="1">
      <alignment horizontal="center" vertical="center"/>
    </xf>
    <xf numFmtId="0" fontId="3" fillId="11" borderId="2" xfId="0" applyFont="1" applyFill="1" applyBorder="1" applyAlignment="1">
      <alignment vertical="center" wrapText="1"/>
    </xf>
    <xf numFmtId="0" fontId="3" fillId="11" borderId="2" xfId="0" applyFont="1" applyFill="1" applyBorder="1" applyAlignment="1">
      <alignment horizontal="center" vertical="center"/>
    </xf>
    <xf numFmtId="0" fontId="3" fillId="11" borderId="2" xfId="0" applyFont="1" applyFill="1" applyBorder="1" applyAlignment="1">
      <alignment horizontal="center" vertical="center" wrapText="1"/>
    </xf>
    <xf numFmtId="0" fontId="6" fillId="11" borderId="2" xfId="0" applyFont="1" applyFill="1" applyBorder="1" applyAlignment="1">
      <alignment horizontal="left" vertical="center" wrapText="1"/>
    </xf>
    <xf numFmtId="0" fontId="6" fillId="10" borderId="4" xfId="0" applyFont="1" applyFill="1" applyBorder="1">
      <alignment vertical="center"/>
    </xf>
    <xf numFmtId="3" fontId="3" fillId="0" borderId="5" xfId="0" applyNumberFormat="1" applyFont="1" applyBorder="1" applyAlignment="1">
      <alignment vertical="center" shrinkToFit="1"/>
    </xf>
    <xf numFmtId="3" fontId="3" fillId="0" borderId="5" xfId="0" applyNumberFormat="1" applyFont="1" applyBorder="1">
      <alignment vertical="center"/>
    </xf>
    <xf numFmtId="0" fontId="3" fillId="2" borderId="12" xfId="0" applyFont="1" applyFill="1" applyBorder="1" applyAlignment="1">
      <alignment horizontal="center" vertical="center"/>
    </xf>
    <xf numFmtId="3" fontId="3" fillId="0" borderId="15" xfId="0" applyNumberFormat="1" applyFont="1" applyBorder="1" applyAlignment="1">
      <alignment vertical="center" shrinkToFit="1"/>
    </xf>
    <xf numFmtId="3" fontId="3" fillId="2" borderId="14" xfId="0" applyNumberFormat="1" applyFont="1" applyFill="1" applyBorder="1" applyAlignment="1">
      <alignment horizontal="center" vertical="center"/>
    </xf>
    <xf numFmtId="3" fontId="3" fillId="0" borderId="43" xfId="0" applyNumberFormat="1" applyFont="1" applyBorder="1">
      <alignment vertical="center"/>
    </xf>
    <xf numFmtId="3" fontId="3" fillId="0" borderId="16" xfId="0" applyNumberFormat="1" applyFont="1" applyBorder="1" applyAlignment="1">
      <alignment vertical="center" shrinkToFit="1"/>
    </xf>
    <xf numFmtId="0" fontId="6" fillId="0" borderId="43" xfId="0" applyFont="1" applyBorder="1" applyAlignment="1">
      <alignment horizontal="left" vertical="center"/>
    </xf>
    <xf numFmtId="0" fontId="6" fillId="0" borderId="43" xfId="0" applyFont="1" applyBorder="1" applyAlignment="1">
      <alignment vertical="center" wrapText="1"/>
    </xf>
    <xf numFmtId="0" fontId="36" fillId="0" borderId="0" xfId="3" applyFont="1" applyAlignment="1" applyProtection="1">
      <alignment horizontal="left" vertical="center"/>
    </xf>
    <xf numFmtId="0" fontId="6" fillId="0" borderId="0" xfId="0" applyFont="1" applyAlignment="1">
      <alignment horizontal="left" vertical="center"/>
    </xf>
    <xf numFmtId="0" fontId="6" fillId="0" borderId="0" xfId="0" applyFont="1">
      <alignment vertical="center"/>
    </xf>
    <xf numFmtId="0" fontId="8" fillId="0" borderId="0" xfId="0" applyFont="1" applyAlignment="1">
      <alignment horizontal="center" vertical="center"/>
    </xf>
    <xf numFmtId="0" fontId="6" fillId="0" borderId="20" xfId="0" applyFont="1" applyBorder="1" applyAlignment="1">
      <alignment horizontal="center" vertical="center"/>
    </xf>
    <xf numFmtId="0" fontId="12" fillId="0" borderId="0" xfId="0" applyFont="1" applyAlignment="1">
      <alignment horizontal="center" vertical="center"/>
    </xf>
    <xf numFmtId="0" fontId="22" fillId="0" borderId="0" xfId="0" applyFont="1" applyAlignment="1">
      <alignment horizontal="right" vertical="center"/>
    </xf>
    <xf numFmtId="0" fontId="13" fillId="0" borderId="2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20" fontId="3"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1" xfId="0" applyFont="1" applyBorder="1">
      <alignment vertical="center"/>
    </xf>
    <xf numFmtId="0" fontId="6" fillId="0" borderId="22" xfId="0" applyFont="1" applyBorder="1" applyAlignment="1">
      <alignment horizontal="center" vertical="center" wrapText="1"/>
    </xf>
    <xf numFmtId="3" fontId="22" fillId="0" borderId="19" xfId="0" applyNumberFormat="1" applyFont="1" applyBorder="1">
      <alignment vertical="center"/>
    </xf>
    <xf numFmtId="0" fontId="3" fillId="0" borderId="23" xfId="0" applyFont="1" applyBorder="1" applyAlignment="1">
      <alignment horizontal="center" vertical="center"/>
    </xf>
    <xf numFmtId="3" fontId="22" fillId="0" borderId="5" xfId="0" applyNumberFormat="1" applyFont="1"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4" fillId="0" borderId="0" xfId="1" applyNumberFormat="1" applyFont="1" applyBorder="1" applyAlignment="1" applyProtection="1">
      <alignment horizontal="left" vertical="center"/>
    </xf>
    <xf numFmtId="0" fontId="6" fillId="0" borderId="0" xfId="0" applyFont="1" applyAlignment="1">
      <alignment horizontal="center" vertical="center" wrapText="1"/>
    </xf>
    <xf numFmtId="0" fontId="3" fillId="0" borderId="20"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center" vertical="center"/>
    </xf>
    <xf numFmtId="0" fontId="6" fillId="8" borderId="2" xfId="0" applyFont="1" applyFill="1" applyBorder="1" applyAlignment="1">
      <alignment horizontal="center" vertical="center"/>
    </xf>
    <xf numFmtId="3" fontId="6" fillId="0" borderId="5" xfId="0" applyNumberFormat="1" applyFont="1" applyBorder="1">
      <alignment vertical="center"/>
    </xf>
    <xf numFmtId="3" fontId="6" fillId="0" borderId="24" xfId="0" applyNumberFormat="1" applyFont="1" applyBorder="1">
      <alignment vertical="center"/>
    </xf>
    <xf numFmtId="0" fontId="6" fillId="0" borderId="8" xfId="0" applyFont="1" applyBorder="1">
      <alignment vertical="center"/>
    </xf>
    <xf numFmtId="3" fontId="6" fillId="0" borderId="8" xfId="0" applyNumberFormat="1" applyFont="1" applyBorder="1">
      <alignment vertical="center"/>
    </xf>
    <xf numFmtId="0" fontId="6" fillId="0" borderId="43" xfId="0" applyFont="1" applyBorder="1" applyAlignment="1">
      <alignment horizontal="center" vertical="center"/>
    </xf>
    <xf numFmtId="0" fontId="6" fillId="6" borderId="2" xfId="0" applyFont="1" applyFill="1" applyBorder="1" applyAlignment="1">
      <alignment horizontal="center" vertical="center"/>
    </xf>
    <xf numFmtId="38" fontId="6" fillId="0" borderId="5" xfId="0" applyNumberFormat="1" applyFont="1" applyBorder="1">
      <alignment vertical="center"/>
    </xf>
    <xf numFmtId="38" fontId="6" fillId="6" borderId="5" xfId="0" applyNumberFormat="1" applyFont="1" applyFill="1" applyBorder="1">
      <alignment vertical="center"/>
    </xf>
    <xf numFmtId="38" fontId="6" fillId="0" borderId="5" xfId="0" applyNumberFormat="1" applyFont="1" applyBorder="1" applyAlignment="1">
      <alignment horizontal="right" vertical="center"/>
    </xf>
    <xf numFmtId="0" fontId="6" fillId="0" borderId="15" xfId="0" applyFont="1" applyBorder="1">
      <alignment vertical="center"/>
    </xf>
    <xf numFmtId="38" fontId="6" fillId="0" borderId="15" xfId="0" applyNumberFormat="1" applyFont="1" applyBorder="1" applyAlignment="1">
      <alignment horizontal="right" vertical="center"/>
    </xf>
    <xf numFmtId="38" fontId="6" fillId="6" borderId="8" xfId="0" applyNumberFormat="1" applyFont="1" applyFill="1" applyBorder="1">
      <alignment vertical="center"/>
    </xf>
    <xf numFmtId="0" fontId="6" fillId="0" borderId="0" xfId="0" applyFont="1" applyAlignment="1">
      <alignment vertical="top"/>
    </xf>
    <xf numFmtId="0" fontId="6" fillId="0" borderId="55" xfId="0" applyFont="1" applyBorder="1">
      <alignment vertical="center"/>
    </xf>
    <xf numFmtId="0" fontId="6" fillId="0" borderId="26" xfId="0" applyFont="1" applyBorder="1">
      <alignment vertical="center"/>
    </xf>
    <xf numFmtId="0" fontId="6" fillId="0" borderId="50" xfId="0" applyFont="1" applyBorder="1">
      <alignment vertical="center"/>
    </xf>
    <xf numFmtId="0" fontId="6" fillId="0" borderId="44" xfId="0" applyFont="1" applyBorder="1" applyAlignment="1">
      <alignment horizontal="center" vertical="center"/>
    </xf>
    <xf numFmtId="0" fontId="6" fillId="9" borderId="2" xfId="0" applyFont="1" applyFill="1" applyBorder="1" applyAlignment="1">
      <alignment horizontal="center" vertical="center"/>
    </xf>
    <xf numFmtId="0" fontId="6" fillId="5" borderId="55" xfId="0" applyFont="1" applyFill="1" applyBorder="1" applyAlignment="1">
      <alignment horizontal="center" vertical="center"/>
    </xf>
    <xf numFmtId="0" fontId="6" fillId="7" borderId="2" xfId="0" applyFont="1" applyFill="1" applyBorder="1" applyAlignment="1">
      <alignment horizontal="center" vertical="center"/>
    </xf>
    <xf numFmtId="3" fontId="6" fillId="0" borderId="33" xfId="0" applyNumberFormat="1" applyFont="1" applyBorder="1">
      <alignment vertical="center"/>
    </xf>
    <xf numFmtId="3" fontId="6" fillId="9" borderId="26" xfId="0" applyNumberFormat="1" applyFont="1" applyFill="1" applyBorder="1" applyAlignment="1">
      <alignment horizontal="right" vertical="center"/>
    </xf>
    <xf numFmtId="3" fontId="6" fillId="5" borderId="26" xfId="0" applyNumberFormat="1" applyFont="1" applyFill="1" applyBorder="1" applyAlignment="1">
      <alignment horizontal="right" vertical="center"/>
    </xf>
    <xf numFmtId="3" fontId="6" fillId="7" borderId="5" xfId="0" applyNumberFormat="1" applyFont="1" applyFill="1" applyBorder="1">
      <alignment vertical="center"/>
    </xf>
    <xf numFmtId="38" fontId="6" fillId="6" borderId="15" xfId="0" applyNumberFormat="1" applyFont="1" applyFill="1" applyBorder="1">
      <alignment vertical="center"/>
    </xf>
    <xf numFmtId="0" fontId="2" fillId="0" borderId="0" xfId="0" applyFont="1" applyAlignment="1">
      <alignment horizontal="right" vertical="center"/>
    </xf>
    <xf numFmtId="0" fontId="32" fillId="0" borderId="0" xfId="0" applyFont="1">
      <alignment vertical="center"/>
    </xf>
    <xf numFmtId="176" fontId="19" fillId="0" borderId="0" xfId="0" applyNumberFormat="1" applyFont="1">
      <alignment vertical="center"/>
    </xf>
    <xf numFmtId="38" fontId="14" fillId="0" borderId="0" xfId="1" applyFont="1" applyFill="1" applyAlignment="1" applyProtection="1">
      <alignment horizontal="center" vertical="center"/>
    </xf>
    <xf numFmtId="176" fontId="28" fillId="10" borderId="0" xfId="0" applyNumberFormat="1" applyFont="1" applyFill="1" applyAlignment="1">
      <alignment horizontal="center" vertical="center"/>
    </xf>
    <xf numFmtId="176" fontId="14" fillId="10" borderId="0" xfId="0" applyNumberFormat="1" applyFont="1" applyFill="1" applyAlignment="1">
      <alignment horizontal="center" vertical="center"/>
    </xf>
    <xf numFmtId="176" fontId="16" fillId="10" borderId="0" xfId="0" applyNumberFormat="1" applyFont="1" applyFill="1" applyAlignment="1">
      <alignment horizontal="right" vertical="center"/>
    </xf>
    <xf numFmtId="176" fontId="16" fillId="0" borderId="0" xfId="0" applyNumberFormat="1" applyFont="1" applyAlignment="1">
      <alignment horizontal="center" vertical="center"/>
    </xf>
    <xf numFmtId="176" fontId="16" fillId="4" borderId="41" xfId="0" applyNumberFormat="1" applyFont="1" applyFill="1" applyBorder="1" applyAlignment="1">
      <alignment horizontal="center" vertical="center"/>
    </xf>
    <xf numFmtId="176" fontId="16" fillId="4" borderId="9" xfId="0" applyNumberFormat="1" applyFont="1" applyFill="1" applyBorder="1" applyAlignment="1">
      <alignment horizontal="right" vertical="center"/>
    </xf>
    <xf numFmtId="176" fontId="16" fillId="4" borderId="9" xfId="0" applyNumberFormat="1" applyFont="1" applyFill="1" applyBorder="1" applyAlignment="1">
      <alignment horizontal="center" vertical="center"/>
    </xf>
    <xf numFmtId="176" fontId="16" fillId="4" borderId="26" xfId="0" applyNumberFormat="1" applyFont="1" applyFill="1" applyBorder="1" applyAlignment="1">
      <alignment horizontal="left" vertical="center"/>
    </xf>
    <xf numFmtId="176" fontId="16" fillId="0" borderId="0" xfId="0" applyNumberFormat="1" applyFont="1" applyAlignment="1">
      <alignment horizontal="left" vertical="center"/>
    </xf>
    <xf numFmtId="176" fontId="16" fillId="0" borderId="0" xfId="0" applyNumberFormat="1" applyFont="1" applyAlignment="1">
      <alignment horizontal="right" vertical="center"/>
    </xf>
    <xf numFmtId="176" fontId="41" fillId="0" borderId="0" xfId="0" applyNumberFormat="1" applyFont="1">
      <alignment vertical="center"/>
    </xf>
    <xf numFmtId="176" fontId="16" fillId="0" borderId="11" xfId="0" applyNumberFormat="1" applyFont="1" applyBorder="1">
      <alignment vertical="center"/>
    </xf>
    <xf numFmtId="176" fontId="16" fillId="4" borderId="17" xfId="0" applyNumberFormat="1" applyFont="1" applyFill="1" applyBorder="1" applyAlignment="1">
      <alignment horizontal="right" vertical="center"/>
    </xf>
    <xf numFmtId="176" fontId="16" fillId="4" borderId="17" xfId="0" applyNumberFormat="1" applyFont="1" applyFill="1" applyBorder="1" applyAlignment="1">
      <alignment horizontal="center" vertical="center"/>
    </xf>
    <xf numFmtId="176" fontId="20" fillId="0" borderId="0" xfId="0" applyNumberFormat="1" applyFont="1">
      <alignment vertical="center"/>
    </xf>
    <xf numFmtId="176" fontId="42" fillId="0" borderId="0" xfId="0" applyNumberFormat="1" applyFont="1">
      <alignment vertical="center"/>
    </xf>
    <xf numFmtId="176" fontId="16" fillId="0" borderId="41" xfId="0" applyNumberFormat="1" applyFont="1" applyBorder="1" applyAlignment="1">
      <alignment horizontal="center" vertical="center"/>
    </xf>
    <xf numFmtId="0" fontId="23" fillId="11" borderId="4" xfId="0" applyFont="1" applyFill="1" applyBorder="1" applyAlignment="1">
      <alignment vertical="center" shrinkToFit="1"/>
    </xf>
    <xf numFmtId="0" fontId="3" fillId="2" borderId="47" xfId="0" applyFont="1" applyFill="1" applyBorder="1" applyAlignment="1">
      <alignment horizontal="center" vertical="center"/>
    </xf>
    <xf numFmtId="0" fontId="3" fillId="2" borderId="25"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26" xfId="0" applyFont="1" applyBorder="1" applyAlignment="1">
      <alignment horizontal="center" vertical="center"/>
    </xf>
    <xf numFmtId="0" fontId="23" fillId="11" borderId="36" xfId="0" applyFont="1" applyFill="1" applyBorder="1" applyAlignment="1">
      <alignment horizontal="left" vertical="center" shrinkToFit="1"/>
    </xf>
    <xf numFmtId="0" fontId="23" fillId="11" borderId="39" xfId="0" applyFont="1" applyFill="1" applyBorder="1" applyAlignment="1">
      <alignment horizontal="left" vertical="center" shrinkToFit="1"/>
    </xf>
    <xf numFmtId="3" fontId="3" fillId="0" borderId="43" xfId="0" applyNumberFormat="1" applyFont="1" applyBorder="1" applyAlignment="1">
      <alignment horizontal="right" vertical="center"/>
    </xf>
    <xf numFmtId="3" fontId="3" fillId="0" borderId="35" xfId="0" applyNumberFormat="1" applyFont="1" applyBorder="1" applyAlignment="1">
      <alignment horizontal="right" vertical="center"/>
    </xf>
    <xf numFmtId="0" fontId="22" fillId="0" borderId="12" xfId="0" applyFont="1" applyBorder="1" applyAlignment="1">
      <alignment horizontal="center" vertical="center" shrinkToFit="1"/>
    </xf>
    <xf numFmtId="0" fontId="22" fillId="0" borderId="9" xfId="0" applyFont="1" applyBorder="1" applyAlignment="1">
      <alignment horizontal="center" vertical="center" shrinkToFit="1"/>
    </xf>
    <xf numFmtId="0" fontId="13" fillId="0" borderId="0" xfId="0" applyFont="1" applyAlignment="1">
      <alignment horizontal="center" vertical="center"/>
    </xf>
    <xf numFmtId="0" fontId="13" fillId="0" borderId="38" xfId="0" applyFont="1" applyBorder="1" applyAlignment="1">
      <alignment horizontal="center" vertical="center"/>
    </xf>
    <xf numFmtId="0" fontId="3" fillId="0" borderId="27" xfId="0" applyFont="1" applyBorder="1" applyAlignment="1">
      <alignment horizontal="center" vertical="center"/>
    </xf>
    <xf numFmtId="0" fontId="3" fillId="0" borderId="21"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6" fillId="0" borderId="19" xfId="0" applyFont="1" applyBorder="1" applyAlignment="1">
      <alignment horizontal="center" vertical="center"/>
    </xf>
    <xf numFmtId="0" fontId="22" fillId="0" borderId="19" xfId="0" applyFont="1" applyBorder="1" applyAlignment="1">
      <alignment horizontal="center" vertical="center"/>
    </xf>
    <xf numFmtId="3" fontId="3" fillId="0" borderId="29" xfId="0" applyNumberFormat="1" applyFont="1" applyBorder="1" applyAlignment="1">
      <alignment horizontal="center" vertical="center"/>
    </xf>
    <xf numFmtId="3" fontId="3" fillId="0" borderId="30"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31" xfId="0" applyNumberFormat="1" applyFont="1" applyBorder="1" applyAlignment="1">
      <alignment horizontal="center" vertical="center"/>
    </xf>
    <xf numFmtId="3" fontId="3" fillId="0" borderId="18" xfId="0" applyNumberFormat="1" applyFont="1" applyBorder="1" applyAlignment="1">
      <alignment horizontal="center" vertical="center"/>
    </xf>
    <xf numFmtId="3" fontId="3" fillId="0" borderId="32" xfId="0" applyNumberFormat="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4" fillId="0" borderId="5"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xf>
    <xf numFmtId="0" fontId="6" fillId="0" borderId="15"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42"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33" xfId="0" applyFont="1" applyBorder="1" applyAlignment="1">
      <alignment horizontal="center" vertical="center"/>
    </xf>
    <xf numFmtId="10" fontId="6" fillId="8" borderId="5" xfId="2" applyNumberFormat="1" applyFont="1" applyFill="1" applyBorder="1" applyAlignment="1" applyProtection="1">
      <alignment horizontal="center" vertical="center"/>
    </xf>
    <xf numFmtId="10" fontId="6" fillId="8" borderId="8" xfId="2" applyNumberFormat="1" applyFont="1" applyFill="1" applyBorder="1" applyAlignment="1" applyProtection="1">
      <alignment horizontal="center" vertical="center"/>
    </xf>
    <xf numFmtId="3" fontId="6" fillId="0" borderId="5" xfId="0" applyNumberFormat="1" applyFont="1" applyBorder="1">
      <alignment vertical="center"/>
    </xf>
    <xf numFmtId="3" fontId="6" fillId="0" borderId="24" xfId="0" applyNumberFormat="1" applyFont="1" applyBorder="1">
      <alignment vertical="center"/>
    </xf>
    <xf numFmtId="3" fontId="6" fillId="0" borderId="8" xfId="0" applyNumberFormat="1" applyFont="1" applyBorder="1">
      <alignment vertical="center"/>
    </xf>
    <xf numFmtId="3" fontId="6" fillId="0" borderId="56" xfId="0" applyNumberFormat="1" applyFont="1" applyBorder="1">
      <alignment vertical="center"/>
    </xf>
    <xf numFmtId="0" fontId="6"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3" fontId="6" fillId="0" borderId="57" xfId="0" applyNumberFormat="1" applyFont="1" applyBorder="1" applyAlignment="1">
      <alignment horizontal="center" vertical="center"/>
    </xf>
    <xf numFmtId="3" fontId="6" fillId="0" borderId="62" xfId="0" applyNumberFormat="1" applyFont="1" applyBorder="1" applyAlignment="1">
      <alignment horizontal="center" vertical="center"/>
    </xf>
    <xf numFmtId="3" fontId="6" fillId="0" borderId="12" xfId="0" applyNumberFormat="1" applyFont="1" applyBorder="1">
      <alignment vertical="center"/>
    </xf>
    <xf numFmtId="3" fontId="6" fillId="0" borderId="63" xfId="0" applyNumberFormat="1" applyFont="1" applyBorder="1">
      <alignment vertical="center"/>
    </xf>
    <xf numFmtId="0" fontId="6" fillId="0" borderId="13" xfId="0" applyFont="1" applyBorder="1" applyAlignment="1">
      <alignment horizontal="center" vertical="center"/>
    </xf>
    <xf numFmtId="0" fontId="6" fillId="0" borderId="36" xfId="0" applyFont="1" applyBorder="1" applyAlignment="1">
      <alignment horizontal="right" vertical="center"/>
    </xf>
    <xf numFmtId="0" fontId="6" fillId="0" borderId="39" xfId="0" applyFont="1" applyBorder="1" applyAlignment="1">
      <alignment horizontal="right" vertical="center"/>
    </xf>
    <xf numFmtId="0" fontId="6" fillId="0" borderId="49" xfId="0" applyFont="1" applyBorder="1" applyAlignment="1">
      <alignment horizontal="right" vertical="center"/>
    </xf>
    <xf numFmtId="3" fontId="6" fillId="0" borderId="54" xfId="0" applyNumberFormat="1" applyFont="1" applyBorder="1">
      <alignment vertical="center"/>
    </xf>
    <xf numFmtId="3" fontId="6" fillId="0" borderId="49" xfId="0" applyNumberFormat="1" applyFont="1" applyBorder="1">
      <alignment vertical="center"/>
    </xf>
    <xf numFmtId="0" fontId="6" fillId="5" borderId="2" xfId="0" applyFont="1" applyFill="1" applyBorder="1" applyAlignment="1">
      <alignment horizontal="center" vertical="center"/>
    </xf>
    <xf numFmtId="38" fontId="6" fillId="5" borderId="5" xfId="0" applyNumberFormat="1" applyFont="1" applyFill="1" applyBorder="1">
      <alignment vertical="center"/>
    </xf>
    <xf numFmtId="38" fontId="6" fillId="5" borderId="15" xfId="0" applyNumberFormat="1" applyFont="1" applyFill="1" applyBorder="1">
      <alignment vertical="center"/>
    </xf>
    <xf numFmtId="3" fontId="3" fillId="0" borderId="54" xfId="0" applyNumberFormat="1" applyFont="1" applyBorder="1" applyAlignment="1">
      <alignment horizontal="center" vertical="center"/>
    </xf>
    <xf numFmtId="3" fontId="3" fillId="0" borderId="49" xfId="0" applyNumberFormat="1" applyFont="1" applyBorder="1" applyAlignment="1">
      <alignment horizontal="center" vertical="center"/>
    </xf>
    <xf numFmtId="0" fontId="6" fillId="0" borderId="0" xfId="0" applyFont="1" applyAlignment="1">
      <alignment horizontal="center" vertical="top" wrapText="1"/>
    </xf>
    <xf numFmtId="10" fontId="6" fillId="3" borderId="5" xfId="2" applyNumberFormat="1" applyFont="1" applyFill="1" applyBorder="1" applyAlignment="1" applyProtection="1">
      <alignment horizontal="center" vertical="center"/>
    </xf>
    <xf numFmtId="10" fontId="6" fillId="3" borderId="8" xfId="2" applyNumberFormat="1" applyFont="1" applyFill="1" applyBorder="1" applyAlignment="1" applyProtection="1">
      <alignment horizontal="center" vertical="center"/>
    </xf>
    <xf numFmtId="0" fontId="6" fillId="0" borderId="53" xfId="0" applyFont="1" applyBorder="1" applyAlignment="1">
      <alignment horizontal="center" vertical="center"/>
    </xf>
    <xf numFmtId="0" fontId="6" fillId="0" borderId="45" xfId="0" applyFont="1" applyBorder="1" applyAlignment="1">
      <alignment horizontal="center" vertical="center"/>
    </xf>
    <xf numFmtId="0" fontId="6" fillId="0" borderId="50" xfId="0" applyFont="1" applyBorder="1" applyAlignment="1">
      <alignment horizontal="center" vertical="center"/>
    </xf>
    <xf numFmtId="3" fontId="6" fillId="0" borderId="15" xfId="0" applyNumberFormat="1" applyFont="1" applyBorder="1">
      <alignment vertical="center"/>
    </xf>
    <xf numFmtId="3" fontId="6" fillId="0" borderId="25" xfId="0" applyNumberFormat="1" applyFont="1" applyBorder="1">
      <alignment vertical="center"/>
    </xf>
    <xf numFmtId="0" fontId="6" fillId="0" borderId="54" xfId="0" applyFont="1" applyBorder="1" applyAlignment="1">
      <alignment horizontal="right" vertical="center"/>
    </xf>
    <xf numFmtId="0" fontId="6" fillId="0" borderId="61" xfId="0" applyFont="1" applyBorder="1" applyAlignment="1">
      <alignment horizontal="right" vertical="center"/>
    </xf>
    <xf numFmtId="0" fontId="6" fillId="0" borderId="0" xfId="0" applyFont="1" applyAlignment="1">
      <alignment horizontal="right" vertical="top" wrapText="1"/>
    </xf>
    <xf numFmtId="10" fontId="6" fillId="3" borderId="10" xfId="2" applyNumberFormat="1" applyFont="1" applyFill="1" applyBorder="1" applyAlignment="1" applyProtection="1">
      <alignment horizontal="center" vertical="center"/>
    </xf>
    <xf numFmtId="10" fontId="6" fillId="3" borderId="19" xfId="2" applyNumberFormat="1" applyFont="1" applyFill="1" applyBorder="1" applyAlignment="1" applyProtection="1">
      <alignment horizontal="center" vertical="center"/>
    </xf>
    <xf numFmtId="0" fontId="3" fillId="0" borderId="40"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32" xfId="0" applyFont="1" applyBorder="1" applyAlignment="1">
      <alignment horizontal="center" vertical="center"/>
    </xf>
    <xf numFmtId="0" fontId="3" fillId="0" borderId="48" xfId="0" applyFont="1" applyBorder="1" applyAlignment="1">
      <alignment horizontal="center" vertical="center"/>
    </xf>
    <xf numFmtId="0" fontId="3" fillId="0" borderId="18" xfId="0" applyFont="1" applyBorder="1" applyAlignment="1">
      <alignment horizontal="center" vertical="center"/>
    </xf>
    <xf numFmtId="0" fontId="27" fillId="0" borderId="0" xfId="0" applyFont="1" applyAlignment="1"/>
    <xf numFmtId="3" fontId="27" fillId="0" borderId="34" xfId="0" applyNumberFormat="1" applyFont="1" applyBorder="1" applyAlignment="1">
      <alignment horizontal="center" vertical="center"/>
    </xf>
    <xf numFmtId="3" fontId="27" fillId="0" borderId="35" xfId="0" applyNumberFormat="1" applyFont="1" applyBorder="1" applyAlignment="1">
      <alignment horizontal="center" vertical="center"/>
    </xf>
    <xf numFmtId="3" fontId="27" fillId="0" borderId="36" xfId="0" applyNumberFormat="1" applyFont="1" applyBorder="1" applyAlignment="1">
      <alignment horizontal="center" vertical="center"/>
    </xf>
    <xf numFmtId="3" fontId="27" fillId="0" borderId="37" xfId="0" applyNumberFormat="1" applyFont="1" applyBorder="1" applyAlignment="1">
      <alignment horizontal="center" vertical="center"/>
    </xf>
    <xf numFmtId="40" fontId="29" fillId="0" borderId="51" xfId="1" applyNumberFormat="1" applyFont="1" applyBorder="1" applyAlignment="1">
      <alignment horizontal="center" vertical="center"/>
    </xf>
    <xf numFmtId="40" fontId="29" fillId="0" borderId="7" xfId="1" applyNumberFormat="1" applyFont="1" applyBorder="1" applyAlignment="1">
      <alignment horizontal="center" vertical="center"/>
    </xf>
    <xf numFmtId="40" fontId="29" fillId="0" borderId="52" xfId="1" applyNumberFormat="1" applyFont="1" applyBorder="1" applyAlignment="1">
      <alignment horizontal="center" vertical="center"/>
    </xf>
    <xf numFmtId="40" fontId="29" fillId="0" borderId="32" xfId="1" applyNumberFormat="1" applyFont="1" applyBorder="1" applyAlignment="1">
      <alignment horizontal="center" vertical="center"/>
    </xf>
    <xf numFmtId="38" fontId="29" fillId="0" borderId="48" xfId="1" applyFont="1" applyBorder="1" applyAlignment="1">
      <alignment horizontal="center" vertical="center"/>
    </xf>
    <xf numFmtId="38" fontId="29" fillId="0" borderId="40" xfId="1" applyFont="1" applyBorder="1" applyAlignment="1">
      <alignment horizontal="center" vertical="center"/>
    </xf>
    <xf numFmtId="38" fontId="29" fillId="0" borderId="7" xfId="1" applyFont="1" applyBorder="1" applyAlignment="1">
      <alignment horizontal="center" vertical="center"/>
    </xf>
    <xf numFmtId="38" fontId="29" fillId="0" borderId="18" xfId="1" applyFont="1" applyBorder="1" applyAlignment="1">
      <alignment horizontal="center" vertical="center"/>
    </xf>
    <xf numFmtId="38" fontId="29" fillId="0" borderId="17" xfId="1" applyFont="1" applyBorder="1" applyAlignment="1">
      <alignment horizontal="center" vertical="center"/>
    </xf>
    <xf numFmtId="38" fontId="29" fillId="0" borderId="32" xfId="1" applyFont="1" applyBorder="1" applyAlignment="1">
      <alignment horizontal="center" vertical="center"/>
    </xf>
    <xf numFmtId="0" fontId="18" fillId="0" borderId="40" xfId="0" applyFont="1" applyBorder="1" applyAlignment="1">
      <alignment horizontal="left" vertical="center"/>
    </xf>
    <xf numFmtId="0" fontId="18" fillId="0" borderId="0" xfId="0" applyFont="1" applyAlignment="1">
      <alignment horizontal="left" vertical="center"/>
    </xf>
    <xf numFmtId="0" fontId="3" fillId="0" borderId="0" xfId="0" applyFont="1" applyAlignment="1">
      <alignment horizontal="right" vertical="center"/>
    </xf>
    <xf numFmtId="0" fontId="0" fillId="0" borderId="31" xfId="0" applyBorder="1" applyAlignment="1">
      <alignment horizontal="right" vertical="center"/>
    </xf>
    <xf numFmtId="0" fontId="3" fillId="0" borderId="31" xfId="0" applyFont="1" applyBorder="1" applyAlignment="1">
      <alignment horizontal="right" vertical="center"/>
    </xf>
    <xf numFmtId="0" fontId="2" fillId="0" borderId="0" xfId="0" applyFont="1" applyAlignment="1">
      <alignment horizontal="right" vertical="center"/>
    </xf>
    <xf numFmtId="0" fontId="2" fillId="0" borderId="38" xfId="0" applyFont="1" applyBorder="1" applyAlignment="1">
      <alignment horizontal="right" vertical="center"/>
    </xf>
    <xf numFmtId="0" fontId="3" fillId="0" borderId="39" xfId="0" applyFont="1" applyBorder="1" applyAlignment="1">
      <alignment horizontal="center" vertical="center"/>
    </xf>
    <xf numFmtId="0" fontId="0" fillId="0" borderId="39" xfId="0" applyBorder="1">
      <alignment vertical="center"/>
    </xf>
    <xf numFmtId="38" fontId="37" fillId="12" borderId="34" xfId="1" applyFont="1" applyFill="1" applyBorder="1" applyAlignment="1" applyProtection="1">
      <alignment horizontal="center" vertical="center"/>
    </xf>
    <xf numFmtId="38" fontId="37" fillId="12" borderId="35" xfId="1" applyFont="1" applyFill="1" applyBorder="1" applyAlignment="1" applyProtection="1">
      <alignment horizontal="center" vertical="center"/>
    </xf>
    <xf numFmtId="38" fontId="37" fillId="12" borderId="36" xfId="1" applyFont="1" applyFill="1" applyBorder="1" applyAlignment="1" applyProtection="1">
      <alignment horizontal="center" vertical="center"/>
    </xf>
    <xf numFmtId="38" fontId="37" fillId="12" borderId="37" xfId="1" applyFont="1" applyFill="1" applyBorder="1" applyAlignment="1" applyProtection="1">
      <alignment horizontal="center" vertical="center"/>
    </xf>
    <xf numFmtId="176" fontId="16" fillId="0" borderId="17" xfId="0" applyNumberFormat="1" applyFont="1" applyBorder="1" applyAlignment="1">
      <alignment horizontal="center"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colors>
    <mruColors>
      <color rgb="FFFFFF66"/>
      <color rgb="FFCCFFFF"/>
      <color rgb="FFDDFFDF"/>
      <color rgb="FFD5FFD7"/>
      <color rgb="FFFFE7FF"/>
      <color rgb="FFFFE699"/>
      <color rgb="FFFFE5FF"/>
      <color rgb="FFFFC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47624</xdr:colOff>
      <xdr:row>25</xdr:row>
      <xdr:rowOff>47625</xdr:rowOff>
    </xdr:from>
    <xdr:to>
      <xdr:col>10</xdr:col>
      <xdr:colOff>76199</xdr:colOff>
      <xdr:row>28</xdr:row>
      <xdr:rowOff>57150</xdr:rowOff>
    </xdr:to>
    <xdr:sp macro="" textlink="">
      <xdr:nvSpPr>
        <xdr:cNvPr id="2" name="Rectangle 33">
          <a:extLst>
            <a:ext uri="{FF2B5EF4-FFF2-40B4-BE49-F238E27FC236}">
              <a16:creationId xmlns:a16="http://schemas.microsoft.com/office/drawing/2014/main" id="{07F14BE5-D285-4BD5-8568-8EBFFF55FD8C}"/>
            </a:ext>
          </a:extLst>
        </xdr:cNvPr>
        <xdr:cNvSpPr>
          <a:spLocks noChangeArrowheads="1"/>
        </xdr:cNvSpPr>
      </xdr:nvSpPr>
      <xdr:spPr bwMode="auto">
        <a:xfrm>
          <a:off x="47624" y="3095625"/>
          <a:ext cx="7458075" cy="495300"/>
        </a:xfrm>
        <a:prstGeom prst="rect">
          <a:avLst/>
        </a:prstGeom>
        <a:noFill/>
        <a:ln w="222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447675</xdr:colOff>
      <xdr:row>0</xdr:row>
      <xdr:rowOff>0</xdr:rowOff>
    </xdr:from>
    <xdr:to>
      <xdr:col>15</xdr:col>
      <xdr:colOff>142874</xdr:colOff>
      <xdr:row>4</xdr:row>
      <xdr:rowOff>161924</xdr:rowOff>
    </xdr:to>
    <xdr:sp macro="" textlink="">
      <xdr:nvSpPr>
        <xdr:cNvPr id="4" name="テキスト ボックス 3">
          <a:extLst>
            <a:ext uri="{FF2B5EF4-FFF2-40B4-BE49-F238E27FC236}">
              <a16:creationId xmlns:a16="http://schemas.microsoft.com/office/drawing/2014/main" id="{B0DACC56-93B1-49AB-BD14-C7EEAC54D4AD}"/>
            </a:ext>
          </a:extLst>
        </xdr:cNvPr>
        <xdr:cNvSpPr txBox="1"/>
      </xdr:nvSpPr>
      <xdr:spPr>
        <a:xfrm>
          <a:off x="10239375" y="0"/>
          <a:ext cx="1466849" cy="666749"/>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tx1"/>
              </a:solidFill>
              <a:latin typeface="HG創英角ﾎﾟｯﾌﾟ体" panose="040B0A09000000000000" pitchFamily="49" charset="-128"/>
              <a:ea typeface="HG創英角ﾎﾟｯﾌﾟ体" panose="040B0A09000000000000" pitchFamily="49" charset="-128"/>
            </a:rPr>
            <a:t>１枚目</a:t>
          </a:r>
          <a:endParaRPr kumimoji="1" lang="en-US" altLang="ja-JP" sz="1800">
            <a:solidFill>
              <a:schemeClr val="tx1"/>
            </a:solidFill>
            <a:latin typeface="HG創英角ﾎﾟｯﾌﾟ体" panose="040B0A09000000000000" pitchFamily="49" charset="-128"/>
            <a:ea typeface="HG創英角ﾎﾟｯﾌﾟ体" panose="040B0A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16565</xdr:colOff>
      <xdr:row>29</xdr:row>
      <xdr:rowOff>8281</xdr:rowOff>
    </xdr:from>
    <xdr:to>
      <xdr:col>9</xdr:col>
      <xdr:colOff>0</xdr:colOff>
      <xdr:row>48</xdr:row>
      <xdr:rowOff>0</xdr:rowOff>
    </xdr:to>
    <xdr:sp macro="" textlink="">
      <xdr:nvSpPr>
        <xdr:cNvPr id="2" name="正方形/長方形 1">
          <a:extLst>
            <a:ext uri="{FF2B5EF4-FFF2-40B4-BE49-F238E27FC236}">
              <a16:creationId xmlns:a16="http://schemas.microsoft.com/office/drawing/2014/main" id="{3A7034A3-06A9-4E80-9971-2E202FAB22CB}"/>
            </a:ext>
          </a:extLst>
        </xdr:cNvPr>
        <xdr:cNvSpPr/>
      </xdr:nvSpPr>
      <xdr:spPr>
        <a:xfrm>
          <a:off x="16565" y="5160064"/>
          <a:ext cx="6261652" cy="3329610"/>
        </a:xfrm>
        <a:prstGeom prst="rect">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16567</xdr:colOff>
      <xdr:row>11</xdr:row>
      <xdr:rowOff>33129</xdr:rowOff>
    </xdr:from>
    <xdr:to>
      <xdr:col>14</xdr:col>
      <xdr:colOff>646043</xdr:colOff>
      <xdr:row>29</xdr:row>
      <xdr:rowOff>8283</xdr:rowOff>
    </xdr:to>
    <xdr:sp macro="" textlink="">
      <xdr:nvSpPr>
        <xdr:cNvPr id="3" name="下矢印 5">
          <a:extLst>
            <a:ext uri="{FF2B5EF4-FFF2-40B4-BE49-F238E27FC236}">
              <a16:creationId xmlns:a16="http://schemas.microsoft.com/office/drawing/2014/main" id="{FACDF9D4-1BCD-42FF-8354-C1D99FAAC1DF}"/>
            </a:ext>
          </a:extLst>
        </xdr:cNvPr>
        <xdr:cNvSpPr/>
      </xdr:nvSpPr>
      <xdr:spPr>
        <a:xfrm>
          <a:off x="7293667" y="1995279"/>
          <a:ext cx="2686876" cy="3099354"/>
        </a:xfrm>
        <a:prstGeom prst="downArrow">
          <a:avLst/>
        </a:prstGeom>
        <a:gradFill flip="none" rotWithShape="1">
          <a:gsLst>
            <a:gs pos="0">
              <a:schemeClr val="accent2">
                <a:lumMod val="0"/>
                <a:lumOff val="100000"/>
              </a:schemeClr>
            </a:gs>
            <a:gs pos="35000">
              <a:schemeClr val="accent2">
                <a:lumMod val="0"/>
                <a:lumOff val="100000"/>
              </a:schemeClr>
            </a:gs>
            <a:gs pos="100000">
              <a:schemeClr val="accent2">
                <a:lumMod val="100000"/>
              </a:schemeClr>
            </a:gs>
          </a:gsLst>
          <a:path path="circle">
            <a:fillToRect l="50000" t="-80000" r="50000" b="18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HGSｺﾞｼｯｸE" panose="020B0900000000000000" pitchFamily="50" charset="-128"/>
              <a:ea typeface="HGSｺﾞｼｯｸE" panose="020B0900000000000000" pitchFamily="50" charset="-128"/>
            </a:rPr>
            <a:t>※</a:t>
          </a:r>
          <a:r>
            <a:rPr kumimoji="1" lang="ja-JP" altLang="en-US" sz="1400" b="1">
              <a:solidFill>
                <a:schemeClr val="tx1"/>
              </a:solidFill>
              <a:latin typeface="HGSｺﾞｼｯｸE" panose="020B0900000000000000" pitchFamily="50" charset="-128"/>
              <a:ea typeface="HGSｺﾞｼｯｸE" panose="020B0900000000000000" pitchFamily="50" charset="-128"/>
            </a:rPr>
            <a:t>年金以外の所得額の合計が</a:t>
          </a:r>
          <a:r>
            <a:rPr kumimoji="1" lang="en-US" altLang="ja-JP" sz="1400" b="1">
              <a:solidFill>
                <a:schemeClr val="tx1"/>
              </a:solidFill>
              <a:latin typeface="HGSｺﾞｼｯｸE" panose="020B0900000000000000" pitchFamily="50" charset="-128"/>
              <a:ea typeface="HGSｺﾞｼｯｸE" panose="020B0900000000000000" pitchFamily="50" charset="-128"/>
            </a:rPr>
            <a:t>1,000</a:t>
          </a:r>
          <a:r>
            <a:rPr kumimoji="1" lang="ja-JP" altLang="en-US" sz="1400" b="1">
              <a:solidFill>
                <a:schemeClr val="tx1"/>
              </a:solidFill>
              <a:latin typeface="HGSｺﾞｼｯｸE" panose="020B0900000000000000" pitchFamily="50" charset="-128"/>
              <a:ea typeface="HGSｺﾞｼｯｸE" panose="020B0900000000000000" pitchFamily="50" charset="-128"/>
            </a:rPr>
            <a:t>万円超の場合、年金所得額の計算が変わります。</a:t>
          </a:r>
        </a:p>
      </xdr:txBody>
    </xdr:sp>
    <xdr:clientData/>
  </xdr:twoCellAnchor>
  <xdr:twoCellAnchor>
    <xdr:from>
      <xdr:col>0</xdr:col>
      <xdr:colOff>16565</xdr:colOff>
      <xdr:row>49</xdr:row>
      <xdr:rowOff>8281</xdr:rowOff>
    </xdr:from>
    <xdr:to>
      <xdr:col>9</xdr:col>
      <xdr:colOff>0</xdr:colOff>
      <xdr:row>68</xdr:row>
      <xdr:rowOff>24847</xdr:rowOff>
    </xdr:to>
    <xdr:sp macro="" textlink="">
      <xdr:nvSpPr>
        <xdr:cNvPr id="4" name="正方形/長方形 3">
          <a:extLst>
            <a:ext uri="{FF2B5EF4-FFF2-40B4-BE49-F238E27FC236}">
              <a16:creationId xmlns:a16="http://schemas.microsoft.com/office/drawing/2014/main" id="{83252DB7-E3E2-4340-A17F-153ECF13465F}"/>
            </a:ext>
          </a:extLst>
        </xdr:cNvPr>
        <xdr:cNvSpPr/>
      </xdr:nvSpPr>
      <xdr:spPr>
        <a:xfrm>
          <a:off x="16565" y="8671890"/>
          <a:ext cx="6261652" cy="335445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machida.tokyo.jp/kurashi/hoken/kokuho/hokenzei/keigen/keigen.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D96ED-5FAC-47D4-81D1-4921E660F47C}">
  <sheetPr>
    <tabColor rgb="FF92D050"/>
    <pageSetUpPr fitToPage="1"/>
  </sheetPr>
  <dimension ref="A1:Z135"/>
  <sheetViews>
    <sheetView tabSelected="1" view="pageBreakPreview" zoomScaleNormal="100" zoomScaleSheetLayoutView="100" workbookViewId="0"/>
  </sheetViews>
  <sheetFormatPr defaultColWidth="9" defaultRowHeight="12" x14ac:dyDescent="0.15"/>
  <cols>
    <col min="1" max="1" width="9.75" style="1" customWidth="1"/>
    <col min="2" max="2" width="6.625" style="1" customWidth="1"/>
    <col min="3" max="3" width="10.25" style="1" customWidth="1"/>
    <col min="4" max="5" width="8.375" style="1" customWidth="1"/>
    <col min="6" max="6" width="10.125" style="1" customWidth="1"/>
    <col min="7" max="7" width="9.625" style="1" customWidth="1"/>
    <col min="8" max="8" width="11.25" style="1" customWidth="1"/>
    <col min="9" max="9" width="10.625" style="1" customWidth="1"/>
    <col min="10" max="10" width="10.875" style="1" customWidth="1"/>
    <col min="11" max="12" width="10.375" style="1" customWidth="1"/>
    <col min="13" max="13" width="10.25" style="1" hidden="1" customWidth="1"/>
    <col min="14" max="14" width="11.25" style="1" hidden="1" customWidth="1"/>
    <col min="15" max="15" width="12" style="1" hidden="1" customWidth="1"/>
    <col min="16" max="18" width="9" style="1" hidden="1" customWidth="1"/>
    <col min="19" max="24" width="12.25" style="1" hidden="1" customWidth="1"/>
    <col min="25" max="26" width="9" style="1" hidden="1" customWidth="1"/>
    <col min="27" max="16384" width="9" style="1"/>
  </cols>
  <sheetData>
    <row r="1" spans="1:24" ht="15.75" customHeight="1" x14ac:dyDescent="0.15">
      <c r="A1" s="81" t="s">
        <v>167</v>
      </c>
      <c r="B1"/>
      <c r="C1"/>
      <c r="D1"/>
      <c r="E1"/>
      <c r="H1" s="82"/>
    </row>
    <row r="2" spans="1:24" ht="14.25" x14ac:dyDescent="0.15">
      <c r="A2" s="83" t="s">
        <v>180</v>
      </c>
      <c r="B2" s="84"/>
      <c r="C2" s="84"/>
      <c r="D2" s="84"/>
      <c r="E2" s="84"/>
      <c r="F2" s="84"/>
      <c r="G2" s="84"/>
      <c r="H2" s="84"/>
      <c r="I2" s="84"/>
      <c r="J2" s="84"/>
      <c r="K2" s="84"/>
    </row>
    <row r="3" spans="1:24" ht="14.25" x14ac:dyDescent="0.15">
      <c r="A3" s="85" t="s">
        <v>200</v>
      </c>
      <c r="B3" s="84"/>
      <c r="C3" s="84"/>
      <c r="D3" s="84"/>
      <c r="E3" s="84"/>
      <c r="F3" s="84"/>
      <c r="G3" s="84"/>
      <c r="H3" s="84"/>
      <c r="I3" s="84"/>
      <c r="J3" s="84"/>
      <c r="K3" s="84"/>
    </row>
    <row r="4" spans="1:24" ht="14.25" x14ac:dyDescent="0.15">
      <c r="A4" s="86" t="s">
        <v>181</v>
      </c>
    </row>
    <row r="5" spans="1:24" ht="15" customHeight="1" thickBot="1" x14ac:dyDescent="0.2">
      <c r="A5" s="87" t="s">
        <v>0</v>
      </c>
      <c r="M5" s="1">
        <v>2025</v>
      </c>
      <c r="N5" s="1" t="s">
        <v>87</v>
      </c>
    </row>
    <row r="6" spans="1:24" ht="92.25" customHeight="1" x14ac:dyDescent="0.15">
      <c r="A6" s="88" t="s">
        <v>1</v>
      </c>
      <c r="B6" s="89" t="s">
        <v>194</v>
      </c>
      <c r="C6" s="90" t="s">
        <v>209</v>
      </c>
      <c r="D6" s="91" t="s">
        <v>192</v>
      </c>
      <c r="E6" s="92" t="s">
        <v>195</v>
      </c>
      <c r="F6" s="93" t="s">
        <v>191</v>
      </c>
      <c r="G6" s="94" t="s">
        <v>2</v>
      </c>
      <c r="H6" s="95" t="s">
        <v>3</v>
      </c>
      <c r="I6" s="96" t="s">
        <v>4</v>
      </c>
      <c r="J6" s="96" t="s">
        <v>5</v>
      </c>
      <c r="K6" s="97" t="s">
        <v>6</v>
      </c>
      <c r="L6" s="98" t="s">
        <v>193</v>
      </c>
      <c r="M6" s="2" t="s">
        <v>110</v>
      </c>
      <c r="N6" s="3" t="s">
        <v>7</v>
      </c>
      <c r="P6" s="2"/>
    </row>
    <row r="7" spans="1:24" ht="19.5" customHeight="1" x14ac:dyDescent="0.15">
      <c r="A7" s="99" t="s">
        <v>156</v>
      </c>
      <c r="B7" s="66"/>
      <c r="C7" s="66"/>
      <c r="D7" s="73"/>
      <c r="E7" s="73"/>
      <c r="F7" s="67"/>
      <c r="G7" s="68"/>
      <c r="H7" s="68"/>
      <c r="I7" s="100">
        <f>IF(SUM(F7,G7,H7)&lt;=0,0,SUM(F7,G7,H7))</f>
        <v>0</v>
      </c>
      <c r="J7" s="101">
        <f>IF(AND(N26&lt;=I7,I7&lt;=O26),P26,IF(AND(N28&lt;=I7,I7&lt;=O28),P28,IF(AND(N29&lt;=I7,I7&lt;=O29),P29,IF(N31&lt;=I7,P31,"error"))))</f>
        <v>430000</v>
      </c>
      <c r="K7" s="100">
        <f>IF(I7-J7&lt;=0,0,I7-J7)</f>
        <v>0</v>
      </c>
      <c r="L7" s="100">
        <f>IF(C7=1,N7,I7)</f>
        <v>0</v>
      </c>
      <c r="M7" s="17">
        <f>SUM(F7:G7)</f>
        <v>0</v>
      </c>
      <c r="N7" s="4">
        <f>IF(G7&gt;=150000,I7-150000,I7-G7)</f>
        <v>0</v>
      </c>
      <c r="O7" s="1" t="s">
        <v>8</v>
      </c>
    </row>
    <row r="8" spans="1:24" ht="19.5" customHeight="1" x14ac:dyDescent="0.15">
      <c r="A8" s="69"/>
      <c r="B8" s="66"/>
      <c r="C8" s="66"/>
      <c r="D8" s="73"/>
      <c r="E8" s="73"/>
      <c r="F8" s="67"/>
      <c r="G8" s="68"/>
      <c r="H8" s="68"/>
      <c r="I8" s="100">
        <f>IF(IF(A8="",0,F8+G8+H8)&lt;=0,0,SUM(F8:H8))</f>
        <v>0</v>
      </c>
      <c r="J8" s="101">
        <f>IF(A8="",0,IF(AND(N26&lt;=I8,I8&lt;=O26),P26,IF(AND(N28&lt;=I8,I8&lt;=O28),P28,IF(AND(N29&lt;=I8,I8&lt;=O29),P29,IF(N31&lt;=I8,P31,"error")))))</f>
        <v>0</v>
      </c>
      <c r="K8" s="100">
        <f>IF(A8="",0,IF(I8-J8&lt;=0,0,I8-J8))</f>
        <v>0</v>
      </c>
      <c r="L8" s="100">
        <f>IF(A8="",0,IF(C8=1,N8,I8))</f>
        <v>0</v>
      </c>
      <c r="M8" s="17">
        <f t="shared" ref="M8:M13" si="0">IF(A8="",0,SUM(F8:G8))</f>
        <v>0</v>
      </c>
      <c r="N8" s="4">
        <f>IF(A8="",0,IF(G8&gt;=150000,I8-150000,I8-G8))</f>
        <v>0</v>
      </c>
      <c r="P8" s="184" t="s">
        <v>107</v>
      </c>
      <c r="Q8" s="5" t="s">
        <v>9</v>
      </c>
    </row>
    <row r="9" spans="1:24" ht="19.5" customHeight="1" x14ac:dyDescent="0.15">
      <c r="A9" s="69"/>
      <c r="B9" s="66"/>
      <c r="C9" s="66"/>
      <c r="D9" s="73"/>
      <c r="E9" s="73"/>
      <c r="F9" s="67"/>
      <c r="G9" s="68"/>
      <c r="H9" s="68"/>
      <c r="I9" s="100">
        <f>IF(IF(A9="",0,F9+G9+H9)&lt;=0,0,SUM(F9:H9))</f>
        <v>0</v>
      </c>
      <c r="J9" s="101">
        <f>IF(A9="",0,IF(AND(N26&lt;=I9,I9&lt;=O26),P26,IF(AND(N28&lt;=I9,I9&lt;=O28),P28,IF(AND(N29&lt;=I9,I7&lt;=O29),P29,IF(N31&lt;=I9,P31,"error")))))</f>
        <v>0</v>
      </c>
      <c r="K9" s="100">
        <f>IF(A9="",0,IF(I9-J9&lt;=0,0,I9-J9))</f>
        <v>0</v>
      </c>
      <c r="L9" s="100">
        <f>IF(A9="",0,IF(C9=1,N9,I9))</f>
        <v>0</v>
      </c>
      <c r="M9" s="17">
        <f t="shared" si="0"/>
        <v>0</v>
      </c>
      <c r="N9" s="4">
        <f>IF(A9="",0,IF(G9&gt;=150000,I9-150000,I9-G9))</f>
        <v>0</v>
      </c>
      <c r="P9" s="185"/>
      <c r="Q9" s="6">
        <v>0.3</v>
      </c>
    </row>
    <row r="10" spans="1:24" ht="19.5" customHeight="1" x14ac:dyDescent="0.15">
      <c r="A10" s="69"/>
      <c r="B10" s="66"/>
      <c r="C10" s="66"/>
      <c r="D10" s="73"/>
      <c r="E10" s="73"/>
      <c r="F10" s="67"/>
      <c r="G10" s="68"/>
      <c r="H10" s="68"/>
      <c r="I10" s="100">
        <f>IF(IF(A10="",0,F10+G10+H10)&lt;=0,0,SUM(F10:H10))</f>
        <v>0</v>
      </c>
      <c r="J10" s="101">
        <f>IF(A10="",0,IF(AND(N26&lt;=I10,I10&lt;=O26),P26,IF(AND(N28&lt;=I10,I10&lt;=O28),P28,IF(AND(N29&lt;=I10,I10&lt;=O29),P29,IF(N31&lt;=I10,P31,"error")))))</f>
        <v>0</v>
      </c>
      <c r="K10" s="100">
        <f>IF(A10="",0,IF(I10-J10&lt;=0,0,I10-J10))</f>
        <v>0</v>
      </c>
      <c r="L10" s="100">
        <f>IF(A10="",0,IF(C10=1,N10,I10))</f>
        <v>0</v>
      </c>
      <c r="M10" s="17">
        <f t="shared" si="0"/>
        <v>0</v>
      </c>
      <c r="N10" s="4">
        <f>IF(A10="",0,IF(G10&gt;=150000,I10-150000,I10-G10))</f>
        <v>0</v>
      </c>
      <c r="O10" s="7" t="s">
        <v>10</v>
      </c>
      <c r="P10" s="186"/>
      <c r="Q10" s="8">
        <v>0.5</v>
      </c>
      <c r="R10" s="9" t="s">
        <v>11</v>
      </c>
      <c r="S10" s="187" t="s">
        <v>12</v>
      </c>
      <c r="T10" s="188"/>
      <c r="U10" s="188"/>
      <c r="V10" s="188"/>
      <c r="W10" s="188"/>
      <c r="X10" s="189"/>
    </row>
    <row r="11" spans="1:24" ht="19.5" customHeight="1" x14ac:dyDescent="0.15">
      <c r="A11" s="69"/>
      <c r="B11" s="66"/>
      <c r="C11" s="66"/>
      <c r="D11" s="73"/>
      <c r="E11" s="73"/>
      <c r="F11" s="67"/>
      <c r="G11" s="68"/>
      <c r="H11" s="68"/>
      <c r="I11" s="100">
        <f>IF(IF(A11="",0,F11+G11+H11)&lt;=0,0,SUM(F11:H11))</f>
        <v>0</v>
      </c>
      <c r="J11" s="101">
        <f>IF(A11="",0,IF(AND(N26&lt;=I11,I11&lt;=O26),P26,IF(AND(N28&lt;=I11,I11&lt;=O28),P28,IF(AND(N29&lt;=I11,I11&lt;=O29),P29,IF(N31&lt;=I11,P31,"error")))))</f>
        <v>0</v>
      </c>
      <c r="K11" s="100">
        <f>IF(A11="",0,IF(I11-J11&lt;=0,0,I11-J11))</f>
        <v>0</v>
      </c>
      <c r="L11" s="100">
        <f>IF(A11="",0,IF(C11=1,N11,I11))</f>
        <v>0</v>
      </c>
      <c r="M11" s="17">
        <f t="shared" si="0"/>
        <v>0</v>
      </c>
      <c r="N11" s="4">
        <f>IF(A12="",0,IF(G12&gt;=150000,I12-150000,I12-G12))</f>
        <v>0</v>
      </c>
      <c r="O11" s="1">
        <v>0</v>
      </c>
      <c r="P11" s="10">
        <v>0</v>
      </c>
      <c r="Q11" s="8">
        <v>0.8</v>
      </c>
      <c r="R11" s="11" t="s">
        <v>46</v>
      </c>
      <c r="S11" s="9"/>
      <c r="T11" s="9"/>
      <c r="U11" s="9"/>
      <c r="V11" s="9"/>
      <c r="W11" s="9"/>
      <c r="X11" s="12" t="s">
        <v>13</v>
      </c>
    </row>
    <row r="12" spans="1:24" ht="19.5" customHeight="1" thickBot="1" x14ac:dyDescent="0.2">
      <c r="A12" s="69"/>
      <c r="B12" s="66"/>
      <c r="C12" s="66"/>
      <c r="D12" s="73"/>
      <c r="E12" s="73"/>
      <c r="F12" s="67"/>
      <c r="G12" s="68"/>
      <c r="H12" s="68"/>
      <c r="I12" s="100">
        <f>IF(IF(A12="",0,F12+G12+H12)&lt;=0,0,SUM(F12:H12))</f>
        <v>0</v>
      </c>
      <c r="J12" s="101">
        <f>IF(A12="",0,IF(AND(N26&lt;=I12,I12&lt;=O26),P26,IF(AND(N28&lt;=I12,I12&lt;=O28),P28,IF(AND(N29&lt;=I12,I12&lt;=O29),P29,IF(N31&lt;=I12,P31,"error")))))</f>
        <v>0</v>
      </c>
      <c r="K12" s="100">
        <f>IF(A12="",0,IF(I12-J12&lt;=0,0,I12-J12))</f>
        <v>0</v>
      </c>
      <c r="L12" s="100">
        <f>IF(A12="",0,IF(C12=1,N12,I12))</f>
        <v>0</v>
      </c>
      <c r="M12" s="17">
        <f t="shared" si="0"/>
        <v>0</v>
      </c>
      <c r="N12" s="13">
        <f>IF(A13="世帯主が加入者",0,IF(G13&gt;=150000,I13-150000,I13-G13))</f>
        <v>0</v>
      </c>
      <c r="O12" s="14">
        <v>1</v>
      </c>
      <c r="P12" s="15">
        <v>1</v>
      </c>
      <c r="Q12" s="16">
        <v>1</v>
      </c>
      <c r="R12" s="11" t="s">
        <v>47</v>
      </c>
      <c r="S12" s="9" t="s">
        <v>14</v>
      </c>
      <c r="T12" s="9" t="s">
        <v>15</v>
      </c>
      <c r="U12" s="9" t="s">
        <v>16</v>
      </c>
      <c r="V12" s="9" t="s">
        <v>17</v>
      </c>
      <c r="W12" s="9" t="s">
        <v>61</v>
      </c>
      <c r="X12" s="9" t="s">
        <v>18</v>
      </c>
    </row>
    <row r="13" spans="1:24" ht="19.5" customHeight="1" thickBot="1" x14ac:dyDescent="0.2">
      <c r="A13" s="181" t="s">
        <v>182</v>
      </c>
      <c r="B13" s="182"/>
      <c r="C13" s="66"/>
      <c r="D13" s="102"/>
      <c r="E13" s="183"/>
      <c r="F13" s="71"/>
      <c r="G13" s="72"/>
      <c r="H13" s="72"/>
      <c r="I13" s="103">
        <f>IF(IF(A13="世帯主が加入者",0,F13+G13+H13)&lt;=0,0,SUM(F13:H13))</f>
        <v>0</v>
      </c>
      <c r="J13" s="104"/>
      <c r="K13" s="104"/>
      <c r="L13" s="103">
        <f>IF(C13=0,0,IF(C13=1,N12,I13))</f>
        <v>0</v>
      </c>
      <c r="M13" s="38">
        <f t="shared" si="0"/>
        <v>0</v>
      </c>
      <c r="N13" s="39"/>
      <c r="O13" s="39"/>
      <c r="P13" s="39"/>
      <c r="Q13" s="39"/>
      <c r="R13" s="39"/>
      <c r="S13" s="39"/>
      <c r="T13" s="39"/>
    </row>
    <row r="14" spans="1:24" ht="19.5" customHeight="1" thickBot="1" x14ac:dyDescent="0.2">
      <c r="A14" s="190" t="s">
        <v>83</v>
      </c>
      <c r="B14" s="191"/>
      <c r="C14" s="191"/>
      <c r="D14" s="70" t="s">
        <v>82</v>
      </c>
      <c r="F14" s="105"/>
      <c r="G14" s="105"/>
      <c r="H14" s="192" t="s">
        <v>19</v>
      </c>
      <c r="I14" s="192"/>
      <c r="J14" s="192"/>
      <c r="K14" s="193"/>
      <c r="L14" s="106">
        <f>SUM(L7:L13)</f>
        <v>0</v>
      </c>
      <c r="M14" s="40" t="s">
        <v>80</v>
      </c>
      <c r="N14" s="41"/>
      <c r="O14" s="194" t="s">
        <v>152</v>
      </c>
      <c r="P14" s="195"/>
      <c r="Q14" s="195"/>
      <c r="R14" s="42" t="str">
        <f>IF(AND(P15&gt;0,P17&gt;0),"いる","いない")</f>
        <v>いる</v>
      </c>
      <c r="S14" s="60" t="s">
        <v>153</v>
      </c>
      <c r="T14" s="18"/>
      <c r="U14" s="18"/>
      <c r="V14" s="18"/>
      <c r="W14" s="18"/>
      <c r="X14" s="18"/>
    </row>
    <row r="15" spans="1:24" s="18" customFormat="1" ht="12.75" customHeight="1" x14ac:dyDescent="0.15">
      <c r="A15" s="107" t="s">
        <v>183</v>
      </c>
      <c r="B15" s="108"/>
      <c r="C15" s="108"/>
      <c r="D15" s="2"/>
      <c r="E15" s="2"/>
      <c r="F15" s="2"/>
      <c r="G15" s="2"/>
      <c r="H15" s="2"/>
      <c r="I15" s="2"/>
      <c r="J15" s="2"/>
      <c r="K15" s="41"/>
      <c r="M15" s="43" t="s">
        <v>81</v>
      </c>
      <c r="N15" s="39"/>
      <c r="O15" s="44" t="s">
        <v>108</v>
      </c>
      <c r="P15" s="45" t="str">
        <f>COUNTIF(F7:F13,"&gt;0")&amp;"人"</f>
        <v>0人</v>
      </c>
      <c r="Q15" s="46"/>
      <c r="R15" s="46"/>
      <c r="S15" s="61" t="s">
        <v>154</v>
      </c>
      <c r="T15" s="1"/>
      <c r="U15" s="1"/>
      <c r="V15" s="1"/>
      <c r="W15" s="1"/>
      <c r="X15" s="1"/>
    </row>
    <row r="16" spans="1:24" s="18" customFormat="1" ht="12.75" customHeight="1" x14ac:dyDescent="0.15">
      <c r="A16" s="109" t="s">
        <v>184</v>
      </c>
      <c r="B16" s="2"/>
      <c r="C16" s="2"/>
      <c r="D16" s="2"/>
      <c r="E16" s="2"/>
      <c r="F16" s="2"/>
      <c r="G16" s="2"/>
      <c r="H16" s="2"/>
      <c r="I16" s="2"/>
      <c r="J16" s="2"/>
      <c r="K16" s="41"/>
      <c r="M16" s="43"/>
      <c r="N16" s="39"/>
      <c r="O16" s="54"/>
      <c r="P16" s="74"/>
      <c r="Q16" s="75"/>
      <c r="R16" s="75"/>
      <c r="S16" s="61"/>
      <c r="T16" s="1"/>
      <c r="U16" s="1"/>
      <c r="V16" s="1"/>
      <c r="W16" s="1"/>
      <c r="X16" s="1"/>
    </row>
    <row r="17" spans="1:19" ht="12.75" customHeight="1" x14ac:dyDescent="0.15">
      <c r="A17" s="110" t="s">
        <v>185</v>
      </c>
      <c r="B17" s="111"/>
      <c r="C17" s="111"/>
      <c r="D17" s="111"/>
      <c r="E17" s="111"/>
      <c r="F17" s="111"/>
      <c r="G17" s="111"/>
      <c r="H17" s="111"/>
      <c r="I17" s="111"/>
      <c r="J17" s="111"/>
      <c r="K17" s="39"/>
      <c r="M17" s="47" t="s">
        <v>82</v>
      </c>
      <c r="N17" s="39"/>
      <c r="O17" s="48" t="s">
        <v>109</v>
      </c>
      <c r="P17" s="49" t="str">
        <f>COUNTIF(G7:G13,"&gt;0")&amp;"人"</f>
        <v>0人</v>
      </c>
      <c r="Q17" s="50" t="str">
        <f>IF(OR(P15&gt;0,P17&gt;0),"○","×")</f>
        <v>○</v>
      </c>
      <c r="R17" s="51">
        <f>IF(Q17="○",COUNTIF(M7:M13,"&gt;0"),0)</f>
        <v>0</v>
      </c>
      <c r="S17" s="62">
        <f>IF(R17-1&gt;0,(R17-1)*100000,0)</f>
        <v>0</v>
      </c>
    </row>
    <row r="18" spans="1:19" ht="12.75" customHeight="1" x14ac:dyDescent="0.15">
      <c r="A18" s="111" t="s">
        <v>211</v>
      </c>
      <c r="B18" s="111"/>
      <c r="C18" s="111"/>
      <c r="D18" s="111"/>
      <c r="E18" s="111"/>
      <c r="F18" s="111"/>
      <c r="G18" s="111"/>
      <c r="H18" s="111"/>
      <c r="I18" s="111"/>
      <c r="J18" s="111"/>
      <c r="K18" s="39"/>
      <c r="M18" s="76"/>
      <c r="N18" s="39"/>
      <c r="O18" s="39"/>
      <c r="P18" s="77"/>
      <c r="Q18" s="77"/>
      <c r="R18" s="39"/>
      <c r="S18" s="56"/>
    </row>
    <row r="19" spans="1:19" ht="12.75" customHeight="1" x14ac:dyDescent="0.15">
      <c r="A19" s="111" t="s">
        <v>210</v>
      </c>
      <c r="B19" s="111"/>
      <c r="C19" s="111"/>
      <c r="D19" s="111"/>
      <c r="E19" s="111"/>
      <c r="F19" s="111"/>
      <c r="G19" s="111"/>
      <c r="H19" s="111"/>
      <c r="I19" s="111"/>
      <c r="J19" s="111"/>
      <c r="K19" s="39"/>
      <c r="M19" s="76"/>
      <c r="N19" s="39"/>
      <c r="O19" s="39"/>
      <c r="P19" s="77"/>
      <c r="Q19" s="77"/>
      <c r="R19" s="39"/>
      <c r="S19" s="56"/>
    </row>
    <row r="20" spans="1:19" ht="12.75" customHeight="1" x14ac:dyDescent="0.15">
      <c r="A20" s="110" t="s">
        <v>212</v>
      </c>
      <c r="B20" s="111"/>
      <c r="C20" s="111"/>
      <c r="D20" s="111"/>
      <c r="E20" s="111"/>
      <c r="F20" s="111"/>
      <c r="G20" s="111"/>
      <c r="H20" s="111"/>
      <c r="I20" s="111"/>
      <c r="J20" s="111"/>
      <c r="K20" s="39"/>
      <c r="M20" s="76"/>
      <c r="N20" s="39"/>
      <c r="O20" s="39"/>
      <c r="P20" s="77"/>
      <c r="Q20" s="77"/>
      <c r="R20" s="39"/>
      <c r="S20" s="56"/>
    </row>
    <row r="21" spans="1:19" ht="12.75" customHeight="1" x14ac:dyDescent="0.15">
      <c r="A21" s="110" t="s">
        <v>198</v>
      </c>
      <c r="B21" s="111"/>
      <c r="C21" s="111"/>
      <c r="D21" s="111"/>
      <c r="E21" s="111"/>
      <c r="F21" s="111"/>
      <c r="G21" s="111"/>
      <c r="H21" s="111"/>
      <c r="I21" s="111"/>
      <c r="J21" s="111"/>
      <c r="K21" s="39"/>
      <c r="M21" s="76"/>
      <c r="N21" s="39"/>
      <c r="O21" s="39"/>
      <c r="P21" s="77"/>
      <c r="Q21" s="77"/>
      <c r="R21" s="39"/>
      <c r="S21" s="56"/>
    </row>
    <row r="22" spans="1:19" ht="12.75" customHeight="1" x14ac:dyDescent="0.15">
      <c r="A22" s="110" t="s">
        <v>196</v>
      </c>
      <c r="B22" s="111"/>
      <c r="C22" s="111"/>
      <c r="D22" s="111"/>
      <c r="E22" s="111"/>
      <c r="F22" s="111"/>
      <c r="G22" s="111"/>
      <c r="H22" s="111"/>
      <c r="I22" s="111"/>
      <c r="J22" s="111"/>
      <c r="K22" s="39"/>
      <c r="M22" s="76"/>
      <c r="N22" s="39"/>
      <c r="O22" s="39"/>
      <c r="P22" s="77"/>
      <c r="Q22" s="77"/>
      <c r="R22" s="39"/>
      <c r="S22" s="56"/>
    </row>
    <row r="23" spans="1:19" ht="12.75" customHeight="1" x14ac:dyDescent="0.15">
      <c r="A23" s="110" t="s">
        <v>197</v>
      </c>
      <c r="B23" s="111"/>
      <c r="C23" s="111"/>
      <c r="D23" s="111"/>
      <c r="E23" s="111"/>
      <c r="F23" s="111"/>
      <c r="G23" s="111"/>
      <c r="H23" s="111"/>
      <c r="I23" s="111"/>
      <c r="J23" s="111"/>
      <c r="K23" s="39"/>
      <c r="M23" s="76"/>
      <c r="N23" s="39"/>
      <c r="O23" s="39"/>
      <c r="P23" s="77"/>
      <c r="Q23" s="77"/>
      <c r="R23" s="39"/>
      <c r="S23" s="56"/>
    </row>
    <row r="24" spans="1:19" ht="12.75" customHeight="1" x14ac:dyDescent="0.15">
      <c r="A24" s="111" t="s">
        <v>199</v>
      </c>
      <c r="B24" s="111"/>
      <c r="C24" s="111"/>
      <c r="D24" s="111"/>
      <c r="E24" s="111"/>
      <c r="F24" s="111"/>
      <c r="G24" s="111"/>
      <c r="H24" s="111"/>
      <c r="I24" s="111"/>
      <c r="J24" s="111"/>
      <c r="K24" s="39"/>
      <c r="P24" s="39"/>
      <c r="Q24" s="39"/>
      <c r="R24" s="39"/>
    </row>
    <row r="25" spans="1:19" ht="12.75" customHeight="1" x14ac:dyDescent="0.15">
      <c r="A25" s="111" t="s">
        <v>20</v>
      </c>
      <c r="B25" s="111"/>
      <c r="C25" s="111"/>
      <c r="D25" s="111"/>
      <c r="E25" s="111"/>
      <c r="F25" s="111"/>
      <c r="G25" s="111"/>
      <c r="H25" s="111"/>
      <c r="I25" s="111"/>
      <c r="J25" s="111"/>
      <c r="K25" s="39"/>
      <c r="M25" s="44" t="s">
        <v>105</v>
      </c>
      <c r="N25" s="52"/>
      <c r="O25" s="52"/>
      <c r="P25" s="53"/>
      <c r="Q25" s="39"/>
      <c r="R25" s="39"/>
    </row>
    <row r="26" spans="1:19" ht="9.75" hidden="1" customHeight="1" thickBot="1" x14ac:dyDescent="0.2">
      <c r="A26" s="111"/>
      <c r="B26" s="111"/>
      <c r="C26" s="111"/>
      <c r="D26" s="111"/>
      <c r="E26" s="111"/>
      <c r="F26" s="111"/>
      <c r="G26" s="111"/>
      <c r="H26" s="111"/>
      <c r="I26" s="111"/>
      <c r="J26" s="111"/>
      <c r="K26" s="39"/>
      <c r="M26" s="54" t="s">
        <v>106</v>
      </c>
      <c r="N26" s="38">
        <v>0</v>
      </c>
      <c r="O26" s="38">
        <v>24000000</v>
      </c>
      <c r="P26" s="55">
        <v>430000</v>
      </c>
      <c r="Q26" s="39"/>
      <c r="R26" s="39"/>
    </row>
    <row r="27" spans="1:19" ht="14.25" hidden="1" customHeight="1" thickBot="1" x14ac:dyDescent="0.2">
      <c r="A27" s="111" t="s">
        <v>21</v>
      </c>
      <c r="B27" s="111"/>
      <c r="C27" s="111"/>
      <c r="D27" s="112">
        <f>COUNTBLANK(A7:A12)</f>
        <v>5</v>
      </c>
      <c r="E27" s="113">
        <f>6-D27</f>
        <v>1</v>
      </c>
      <c r="F27" s="114"/>
      <c r="I27" s="114">
        <f>IF(A13="世帯主が加入者",E27-1,E27)</f>
        <v>1</v>
      </c>
      <c r="K27" s="115"/>
      <c r="M27" s="54"/>
      <c r="N27" s="39"/>
      <c r="O27" s="39"/>
      <c r="P27" s="55"/>
      <c r="Q27" s="39"/>
      <c r="R27" s="39"/>
    </row>
    <row r="28" spans="1:19" ht="14.25" hidden="1" customHeight="1" thickBot="1" x14ac:dyDescent="0.2">
      <c r="A28" s="111" t="s">
        <v>22</v>
      </c>
      <c r="B28" s="111"/>
      <c r="C28" s="111"/>
      <c r="D28" s="111"/>
      <c r="E28" s="113">
        <f>COUNTIF(B7:B12,1)</f>
        <v>0</v>
      </c>
      <c r="F28" s="111"/>
      <c r="G28" s="196" t="s">
        <v>155</v>
      </c>
      <c r="H28" s="196"/>
      <c r="I28" s="197"/>
      <c r="J28" s="116">
        <f>COUNTIF(D7:D12,1)</f>
        <v>0</v>
      </c>
      <c r="K28" s="39"/>
      <c r="M28" s="54"/>
      <c r="N28" s="38">
        <v>24000001</v>
      </c>
      <c r="O28" s="56">
        <v>24500000</v>
      </c>
      <c r="P28" s="55">
        <v>290000</v>
      </c>
      <c r="Q28" s="39"/>
      <c r="R28" s="39"/>
    </row>
    <row r="29" spans="1:19" ht="9.75" hidden="1" customHeight="1" x14ac:dyDescent="0.15">
      <c r="A29" s="111"/>
      <c r="B29" s="111"/>
      <c r="C29" s="111"/>
      <c r="D29" s="111"/>
      <c r="E29" s="111"/>
      <c r="F29" s="111"/>
      <c r="G29" s="117"/>
      <c r="H29" s="117"/>
      <c r="I29" s="111"/>
      <c r="J29" s="118"/>
      <c r="K29" s="39"/>
      <c r="M29" s="54"/>
      <c r="N29" s="56">
        <v>24500001</v>
      </c>
      <c r="O29" s="56">
        <v>25000000</v>
      </c>
      <c r="P29" s="55">
        <v>150000</v>
      </c>
      <c r="Q29" s="39"/>
      <c r="R29" s="39"/>
    </row>
    <row r="30" spans="1:19" ht="15" hidden="1" customHeight="1" x14ac:dyDescent="0.15">
      <c r="A30" s="1" t="s">
        <v>59</v>
      </c>
      <c r="D30" s="119"/>
      <c r="G30" s="120"/>
      <c r="H30" s="120"/>
      <c r="J30" s="121"/>
      <c r="K30" s="39"/>
      <c r="M30" s="54"/>
      <c r="N30" s="39"/>
      <c r="O30" s="39"/>
      <c r="P30" s="55"/>
      <c r="Q30" s="39"/>
      <c r="R30" s="39"/>
    </row>
    <row r="31" spans="1:19" ht="16.5" hidden="1" customHeight="1" thickBot="1" x14ac:dyDescent="0.2">
      <c r="A31" s="1" t="s">
        <v>63</v>
      </c>
      <c r="K31" s="39"/>
      <c r="M31" s="48"/>
      <c r="N31" s="57">
        <v>25000001</v>
      </c>
      <c r="O31" s="58"/>
      <c r="P31" s="59">
        <v>0</v>
      </c>
      <c r="Q31" s="39"/>
      <c r="R31" s="39"/>
    </row>
    <row r="32" spans="1:19" ht="20.25" hidden="1" customHeight="1" thickBot="1" x14ac:dyDescent="0.2">
      <c r="A32" s="198" t="s">
        <v>23</v>
      </c>
      <c r="B32" s="199"/>
      <c r="C32" s="199" t="s">
        <v>24</v>
      </c>
      <c r="D32" s="199"/>
      <c r="E32" s="199"/>
      <c r="F32" s="199"/>
      <c r="G32" s="122" t="s">
        <v>25</v>
      </c>
      <c r="H32" s="200" t="s">
        <v>26</v>
      </c>
      <c r="I32" s="200"/>
      <c r="J32" s="123" t="s">
        <v>27</v>
      </c>
    </row>
    <row r="33" spans="1:15" ht="15" hidden="1" customHeight="1" x14ac:dyDescent="0.15">
      <c r="A33" s="201" t="s">
        <v>28</v>
      </c>
      <c r="B33" s="202"/>
      <c r="C33" s="203" t="s">
        <v>111</v>
      </c>
      <c r="D33" s="203"/>
      <c r="E33" s="203"/>
      <c r="F33" s="203"/>
      <c r="G33" s="124">
        <f>430000+S17</f>
        <v>430000</v>
      </c>
      <c r="H33" s="204">
        <f>L14</f>
        <v>0</v>
      </c>
      <c r="I33" s="205"/>
      <c r="J33" s="125" t="str">
        <f>IF(D14="いる","×",IF(H33&lt;=G33,"○","×"))</f>
        <v>○</v>
      </c>
      <c r="M33" s="22" t="s">
        <v>53</v>
      </c>
      <c r="N33" s="29">
        <v>310000</v>
      </c>
    </row>
    <row r="34" spans="1:15" ht="15" hidden="1" customHeight="1" x14ac:dyDescent="0.15">
      <c r="A34" s="210" t="s">
        <v>29</v>
      </c>
      <c r="B34" s="211"/>
      <c r="C34" s="212" t="str">
        <f>"430,000円＋"&amp;TEXT(N33,"#,##0円")&amp;"×（加入者数）＋☆"</f>
        <v>430,000円＋310,000円×（加入者数）＋☆</v>
      </c>
      <c r="D34" s="212"/>
      <c r="E34" s="212"/>
      <c r="F34" s="212"/>
      <c r="G34" s="126">
        <f>430000+(N33*E27)+S17</f>
        <v>740000</v>
      </c>
      <c r="H34" s="206"/>
      <c r="I34" s="207"/>
      <c r="J34" s="127" t="str">
        <f>IF(D14="いる","×",IF(J33="○","×",IF(H33&lt;=G34,"○","×")))</f>
        <v>×</v>
      </c>
      <c r="M34" s="22" t="s">
        <v>54</v>
      </c>
      <c r="N34" s="29">
        <v>570000</v>
      </c>
    </row>
    <row r="35" spans="1:15" ht="15" hidden="1" customHeight="1" x14ac:dyDescent="0.15">
      <c r="A35" s="213" t="s">
        <v>30</v>
      </c>
      <c r="B35" s="211"/>
      <c r="C35" s="212" t="str">
        <f>"430,000円＋"&amp;TEXT(N34,"#,##0円")&amp;"×（加入者数）＋☆"</f>
        <v>430,000円＋570,000円×（加入者数）＋☆</v>
      </c>
      <c r="D35" s="212"/>
      <c r="E35" s="212"/>
      <c r="F35" s="212"/>
      <c r="G35" s="126">
        <f>430000+(N34*E27)+S17</f>
        <v>1000000</v>
      </c>
      <c r="H35" s="208"/>
      <c r="I35" s="209"/>
      <c r="J35" s="127" t="str">
        <f>IF(D14="いる","×",IF(J33="○","×",IF(J34="○","×",IF(H33&lt;=G35,"○","×"))))</f>
        <v>×</v>
      </c>
    </row>
    <row r="36" spans="1:15" ht="15" hidden="1" customHeight="1" thickBot="1" x14ac:dyDescent="0.2">
      <c r="A36" s="214" t="s">
        <v>31</v>
      </c>
      <c r="B36" s="215"/>
      <c r="C36" s="216" t="s">
        <v>157</v>
      </c>
      <c r="D36" s="216"/>
      <c r="E36" s="216"/>
      <c r="F36" s="216"/>
      <c r="G36" s="216"/>
      <c r="H36" s="216"/>
      <c r="I36" s="216"/>
      <c r="J36" s="128" t="str">
        <f>IF(J33="○","×",IF(J34="○","×",IF(J35="○","×","○")))</f>
        <v>×</v>
      </c>
    </row>
    <row r="37" spans="1:15" ht="15" hidden="1" customHeight="1" thickBot="1" x14ac:dyDescent="0.2">
      <c r="A37" s="129" t="str">
        <f>" ☆ ＝ "&amp;TEXT(S17,"###,##0円")&amp;" ＝ 同一世帯内の給与 又は 年金所得者のある数―１×100,000円"</f>
        <v xml:space="preserve"> ☆ ＝ 0円 ＝ 同一世帯内の給与 又は 年金所得者のある数―１×100,000円</v>
      </c>
      <c r="B37" s="120"/>
      <c r="C37" s="130"/>
      <c r="D37" s="130"/>
      <c r="E37" s="130"/>
      <c r="F37" s="130"/>
      <c r="G37" s="130"/>
      <c r="H37" s="130"/>
      <c r="I37" s="130"/>
      <c r="J37" s="120"/>
      <c r="N37" s="17"/>
    </row>
    <row r="38" spans="1:15" ht="17.25" hidden="1" customHeight="1" thickBot="1" x14ac:dyDescent="0.2">
      <c r="A38" s="1" t="s">
        <v>32</v>
      </c>
      <c r="E38" s="131">
        <f>IF(J33="○",0.3,IF(J34="○",0.5,IF(J35="○",0.8,1)))</f>
        <v>0.3</v>
      </c>
      <c r="F38" s="1" t="s">
        <v>48</v>
      </c>
    </row>
    <row r="39" spans="1:15" ht="14.25" hidden="1" customHeight="1" x14ac:dyDescent="0.15">
      <c r="A39" s="1" t="s">
        <v>33</v>
      </c>
      <c r="E39" s="120"/>
      <c r="J39" s="217"/>
    </row>
    <row r="40" spans="1:15" ht="12.75" hidden="1" customHeight="1" thickBot="1" x14ac:dyDescent="0.2">
      <c r="A40" s="111" t="s">
        <v>34</v>
      </c>
      <c r="J40" s="217"/>
    </row>
    <row r="41" spans="1:15" ht="11.25" hidden="1" customHeight="1" x14ac:dyDescent="0.15">
      <c r="A41" s="218" t="s">
        <v>35</v>
      </c>
      <c r="B41" s="132" t="s">
        <v>36</v>
      </c>
      <c r="C41" s="133" t="s">
        <v>37</v>
      </c>
      <c r="D41" s="134" t="s">
        <v>38</v>
      </c>
      <c r="E41" s="220" t="s">
        <v>39</v>
      </c>
      <c r="F41" s="220"/>
      <c r="G41" s="222" t="s">
        <v>40</v>
      </c>
      <c r="H41" s="223"/>
      <c r="I41" s="111"/>
      <c r="J41" s="111"/>
      <c r="M41" s="1" t="s">
        <v>55</v>
      </c>
    </row>
    <row r="42" spans="1:15" ht="11.25" hidden="1" customHeight="1" x14ac:dyDescent="0.15">
      <c r="A42" s="210"/>
      <c r="B42" s="9" t="str">
        <f>A7</f>
        <v>加入者１</v>
      </c>
      <c r="C42" s="135">
        <f t="shared" ref="C42:C47" si="1">K7</f>
        <v>0</v>
      </c>
      <c r="D42" s="224">
        <f>+N42</f>
        <v>6.7699999999999996E-2</v>
      </c>
      <c r="E42" s="221"/>
      <c r="F42" s="221"/>
      <c r="G42" s="226">
        <f>C42*$D$42</f>
        <v>0</v>
      </c>
      <c r="H42" s="227"/>
      <c r="I42" s="111"/>
      <c r="J42" s="111"/>
      <c r="M42" s="22" t="s">
        <v>35</v>
      </c>
      <c r="N42" s="23">
        <v>6.7699999999999996E-2</v>
      </c>
    </row>
    <row r="43" spans="1:15" ht="11.25" hidden="1" customHeight="1" x14ac:dyDescent="0.15">
      <c r="A43" s="210"/>
      <c r="B43" s="9" t="str">
        <f>IF(A8="","",A8)</f>
        <v/>
      </c>
      <c r="C43" s="135">
        <f t="shared" si="1"/>
        <v>0</v>
      </c>
      <c r="D43" s="224"/>
      <c r="E43" s="221"/>
      <c r="F43" s="221"/>
      <c r="G43" s="226">
        <f>C43*$D$42</f>
        <v>0</v>
      </c>
      <c r="H43" s="227"/>
      <c r="I43" s="111"/>
      <c r="J43" s="111"/>
      <c r="M43" s="22" t="s">
        <v>52</v>
      </c>
      <c r="N43" s="29">
        <v>40200</v>
      </c>
    </row>
    <row r="44" spans="1:15" ht="11.25" hidden="1" customHeight="1" x14ac:dyDescent="0.15">
      <c r="A44" s="210"/>
      <c r="B44" s="9" t="str">
        <f>IF(A9="","",A9)</f>
        <v/>
      </c>
      <c r="C44" s="135">
        <f t="shared" si="1"/>
        <v>0</v>
      </c>
      <c r="D44" s="224"/>
      <c r="E44" s="221"/>
      <c r="F44" s="221"/>
      <c r="G44" s="226">
        <f>C44*$D$42</f>
        <v>0</v>
      </c>
      <c r="H44" s="227"/>
      <c r="I44" s="111"/>
      <c r="J44" s="111"/>
      <c r="M44" s="22" t="s">
        <v>56</v>
      </c>
      <c r="N44" s="30">
        <v>670000</v>
      </c>
    </row>
    <row r="45" spans="1:15" ht="11.25" hidden="1" customHeight="1" x14ac:dyDescent="0.15">
      <c r="A45" s="210"/>
      <c r="B45" s="9" t="str">
        <f>IF(A10="","",A10)</f>
        <v/>
      </c>
      <c r="C45" s="135">
        <f t="shared" si="1"/>
        <v>0</v>
      </c>
      <c r="D45" s="224"/>
      <c r="E45" s="221"/>
      <c r="F45" s="221"/>
      <c r="G45" s="226">
        <f>C45*$D$42</f>
        <v>0</v>
      </c>
      <c r="H45" s="227"/>
      <c r="I45" s="111"/>
      <c r="J45" s="111"/>
    </row>
    <row r="46" spans="1:15" ht="11.25" hidden="1" customHeight="1" x14ac:dyDescent="0.15">
      <c r="A46" s="210"/>
      <c r="B46" s="9" t="str">
        <f>IF(A11="","",A11)</f>
        <v/>
      </c>
      <c r="C46" s="135">
        <f t="shared" si="1"/>
        <v>0</v>
      </c>
      <c r="D46" s="224"/>
      <c r="E46" s="221"/>
      <c r="F46" s="221"/>
      <c r="G46" s="226">
        <f t="shared" ref="G46:G47" si="2">C46*$D$42</f>
        <v>0</v>
      </c>
      <c r="H46" s="227"/>
      <c r="I46" s="111"/>
      <c r="J46" s="111"/>
    </row>
    <row r="47" spans="1:15" ht="11.25" hidden="1" customHeight="1" thickBot="1" x14ac:dyDescent="0.2">
      <c r="A47" s="219"/>
      <c r="B47" s="137" t="str">
        <f>IF(A12="","",A12)</f>
        <v/>
      </c>
      <c r="C47" s="138">
        <f t="shared" si="1"/>
        <v>0</v>
      </c>
      <c r="D47" s="225"/>
      <c r="E47" s="184"/>
      <c r="F47" s="184"/>
      <c r="G47" s="228">
        <f t="shared" si="2"/>
        <v>0</v>
      </c>
      <c r="H47" s="229"/>
      <c r="I47" s="111"/>
      <c r="J47" s="111"/>
    </row>
    <row r="48" spans="1:15" ht="11.25" hidden="1" customHeight="1" x14ac:dyDescent="0.15">
      <c r="A48" s="230" t="s">
        <v>41</v>
      </c>
      <c r="B48" s="132" t="s">
        <v>36</v>
      </c>
      <c r="C48" s="139" t="s">
        <v>170</v>
      </c>
      <c r="D48" s="243" t="s">
        <v>176</v>
      </c>
      <c r="E48" s="243"/>
      <c r="F48" s="140" t="s">
        <v>172</v>
      </c>
      <c r="G48" s="233" t="s">
        <v>40</v>
      </c>
      <c r="H48" s="234"/>
      <c r="J48" s="111"/>
      <c r="M48" s="63" t="s">
        <v>169</v>
      </c>
      <c r="N48" s="64" t="s">
        <v>175</v>
      </c>
      <c r="O48" s="65" t="s">
        <v>174</v>
      </c>
    </row>
    <row r="49" spans="1:15" ht="11.25" hidden="1" customHeight="1" x14ac:dyDescent="0.15">
      <c r="A49" s="231"/>
      <c r="B49" s="9" t="str">
        <f>A7</f>
        <v>加入者１</v>
      </c>
      <c r="C49" s="141">
        <f>N43</f>
        <v>40200</v>
      </c>
      <c r="D49" s="244">
        <f>C49*E38</f>
        <v>12060</v>
      </c>
      <c r="E49" s="244"/>
      <c r="F49" s="142">
        <f t="shared" ref="F49:F54" si="3">IF(D7=1,D49*0.5,0)</f>
        <v>0</v>
      </c>
      <c r="G49" s="235">
        <f>D49-F49</f>
        <v>12060</v>
      </c>
      <c r="H49" s="236"/>
      <c r="J49" s="111"/>
      <c r="M49" s="63">
        <f t="shared" ref="M49:M54" si="4">D7</f>
        <v>0</v>
      </c>
      <c r="N49" s="63">
        <f t="shared" ref="N49:N54" si="5">IF(AND(E7=1,D7&lt;&gt;1),1,0)</f>
        <v>0</v>
      </c>
      <c r="O49" s="63">
        <f>M49+N49</f>
        <v>0</v>
      </c>
    </row>
    <row r="50" spans="1:15" ht="11.25" hidden="1" customHeight="1" x14ac:dyDescent="0.15">
      <c r="A50" s="231"/>
      <c r="B50" s="9" t="str">
        <f>IF(A8="","",A8)</f>
        <v/>
      </c>
      <c r="C50" s="143" t="str">
        <f>IF(A8="","0",N43)</f>
        <v>0</v>
      </c>
      <c r="D50" s="244">
        <f>C50*E38</f>
        <v>0</v>
      </c>
      <c r="E50" s="244"/>
      <c r="F50" s="142">
        <f t="shared" si="3"/>
        <v>0</v>
      </c>
      <c r="G50" s="235">
        <f t="shared" ref="G50:G54" si="6">D50-F50</f>
        <v>0</v>
      </c>
      <c r="H50" s="236"/>
      <c r="J50" s="111"/>
      <c r="M50" s="63">
        <f t="shared" si="4"/>
        <v>0</v>
      </c>
      <c r="N50" s="63">
        <f t="shared" si="5"/>
        <v>0</v>
      </c>
      <c r="O50" s="63">
        <f t="shared" ref="O50:O54" si="7">M50+N50</f>
        <v>0</v>
      </c>
    </row>
    <row r="51" spans="1:15" ht="11.25" hidden="1" customHeight="1" x14ac:dyDescent="0.15">
      <c r="A51" s="231"/>
      <c r="B51" s="9" t="str">
        <f>IF(A9="","",A9)</f>
        <v/>
      </c>
      <c r="C51" s="143" t="str">
        <f>IF(A9="","0",N43)</f>
        <v>0</v>
      </c>
      <c r="D51" s="244">
        <f>C51*E38</f>
        <v>0</v>
      </c>
      <c r="E51" s="244"/>
      <c r="F51" s="142">
        <f t="shared" si="3"/>
        <v>0</v>
      </c>
      <c r="G51" s="235">
        <f t="shared" si="6"/>
        <v>0</v>
      </c>
      <c r="H51" s="236"/>
      <c r="J51" s="111"/>
      <c r="M51" s="63">
        <f t="shared" si="4"/>
        <v>0</v>
      </c>
      <c r="N51" s="63">
        <f t="shared" si="5"/>
        <v>0</v>
      </c>
      <c r="O51" s="63">
        <f t="shared" si="7"/>
        <v>0</v>
      </c>
    </row>
    <row r="52" spans="1:15" ht="11.25" hidden="1" customHeight="1" x14ac:dyDescent="0.15">
      <c r="A52" s="231"/>
      <c r="B52" s="9" t="str">
        <f>IF(A10="","",A10)</f>
        <v/>
      </c>
      <c r="C52" s="143" t="str">
        <f>IF(A10="","0",N43)</f>
        <v>0</v>
      </c>
      <c r="D52" s="244">
        <f>C52*E38</f>
        <v>0</v>
      </c>
      <c r="E52" s="244"/>
      <c r="F52" s="142">
        <f t="shared" si="3"/>
        <v>0</v>
      </c>
      <c r="G52" s="235">
        <f t="shared" si="6"/>
        <v>0</v>
      </c>
      <c r="H52" s="236"/>
      <c r="J52" s="111"/>
      <c r="M52" s="63">
        <f t="shared" si="4"/>
        <v>0</v>
      </c>
      <c r="N52" s="63">
        <f t="shared" si="5"/>
        <v>0</v>
      </c>
      <c r="O52" s="63">
        <f t="shared" si="7"/>
        <v>0</v>
      </c>
    </row>
    <row r="53" spans="1:15" ht="11.25" hidden="1" customHeight="1" x14ac:dyDescent="0.15">
      <c r="A53" s="231"/>
      <c r="B53" s="9" t="str">
        <f>IF(A11="","",A11)</f>
        <v/>
      </c>
      <c r="C53" s="143" t="str">
        <f>IF(A11="","0",N43)</f>
        <v>0</v>
      </c>
      <c r="D53" s="244">
        <f>C53*E38</f>
        <v>0</v>
      </c>
      <c r="E53" s="244"/>
      <c r="F53" s="142">
        <f t="shared" si="3"/>
        <v>0</v>
      </c>
      <c r="G53" s="235">
        <f t="shared" si="6"/>
        <v>0</v>
      </c>
      <c r="H53" s="236"/>
      <c r="J53" s="111" t="s">
        <v>49</v>
      </c>
      <c r="M53" s="63">
        <f t="shared" si="4"/>
        <v>0</v>
      </c>
      <c r="N53" s="63">
        <f t="shared" si="5"/>
        <v>0</v>
      </c>
      <c r="O53" s="63">
        <f t="shared" si="7"/>
        <v>0</v>
      </c>
    </row>
    <row r="54" spans="1:15" ht="11.25" hidden="1" customHeight="1" thickBot="1" x14ac:dyDescent="0.2">
      <c r="A54" s="232"/>
      <c r="B54" s="144" t="str">
        <f>IF(A12="","",A12)</f>
        <v/>
      </c>
      <c r="C54" s="145" t="str">
        <f>IF(A12="","0",N43)</f>
        <v>0</v>
      </c>
      <c r="D54" s="245">
        <f>C54*E38</f>
        <v>0</v>
      </c>
      <c r="E54" s="245"/>
      <c r="F54" s="146">
        <f t="shared" si="3"/>
        <v>0</v>
      </c>
      <c r="G54" s="235">
        <f t="shared" si="6"/>
        <v>0</v>
      </c>
      <c r="H54" s="236"/>
      <c r="K54" s="111"/>
      <c r="M54" s="63">
        <f t="shared" si="4"/>
        <v>0</v>
      </c>
      <c r="N54" s="63">
        <f t="shared" si="5"/>
        <v>0</v>
      </c>
      <c r="O54" s="63">
        <f t="shared" si="7"/>
        <v>0</v>
      </c>
    </row>
    <row r="55" spans="1:15" ht="17.25" hidden="1" customHeight="1" thickBot="1" x14ac:dyDescent="0.2">
      <c r="A55" s="117"/>
      <c r="B55" s="111"/>
      <c r="C55" s="111"/>
      <c r="D55" s="238" t="s">
        <v>60</v>
      </c>
      <c r="E55" s="239"/>
      <c r="F55" s="240"/>
      <c r="G55" s="241">
        <f>G42+G43+G44+G45+G46+G47+G49+G50+G51+G52+G53+G54</f>
        <v>12060</v>
      </c>
      <c r="H55" s="242"/>
      <c r="J55" s="117" t="s">
        <v>50</v>
      </c>
      <c r="K55" s="246">
        <f>ROUNDDOWN(IF(G55&gt;N44,N44,G55),0)</f>
        <v>12060</v>
      </c>
      <c r="L55" s="247"/>
      <c r="M55" s="1" t="s">
        <v>62</v>
      </c>
    </row>
    <row r="56" spans="1:15" ht="7.5" hidden="1" customHeight="1" x14ac:dyDescent="0.15">
      <c r="J56" s="248" t="s">
        <v>179</v>
      </c>
      <c r="K56" s="248"/>
    </row>
    <row r="57" spans="1:15" ht="5.25" hidden="1" customHeight="1" x14ac:dyDescent="0.15">
      <c r="A57" s="111"/>
      <c r="B57" s="111"/>
      <c r="C57" s="111"/>
      <c r="D57" s="111"/>
      <c r="E57" s="111"/>
      <c r="F57" s="111"/>
      <c r="G57" s="111"/>
      <c r="H57" s="111"/>
      <c r="J57" s="248"/>
      <c r="K57" s="248"/>
    </row>
    <row r="58" spans="1:15" ht="11.25" hidden="1" customHeight="1" thickBot="1" x14ac:dyDescent="0.2">
      <c r="A58" s="111" t="s">
        <v>42</v>
      </c>
      <c r="B58" s="111"/>
      <c r="C58" s="111"/>
      <c r="D58" s="111"/>
      <c r="E58" s="111"/>
      <c r="F58" s="111"/>
      <c r="G58" s="111"/>
      <c r="H58" s="111"/>
    </row>
    <row r="59" spans="1:15" ht="11.25" hidden="1" customHeight="1" x14ac:dyDescent="0.15">
      <c r="A59" s="218" t="s">
        <v>35</v>
      </c>
      <c r="B59" s="132" t="s">
        <v>36</v>
      </c>
      <c r="C59" s="133" t="s">
        <v>37</v>
      </c>
      <c r="D59" s="134" t="s">
        <v>38</v>
      </c>
      <c r="E59" s="220" t="s">
        <v>39</v>
      </c>
      <c r="F59" s="220"/>
      <c r="G59" s="222" t="s">
        <v>40</v>
      </c>
      <c r="H59" s="223"/>
      <c r="J59" s="147"/>
      <c r="K59" s="147"/>
      <c r="M59" s="1" t="s">
        <v>57</v>
      </c>
      <c r="N59" s="14"/>
    </row>
    <row r="60" spans="1:15" ht="11.25" hidden="1" customHeight="1" x14ac:dyDescent="0.15">
      <c r="A60" s="210"/>
      <c r="B60" s="9" t="str">
        <f>A7</f>
        <v>加入者１</v>
      </c>
      <c r="C60" s="135">
        <f t="shared" ref="C60:C65" si="8">K7</f>
        <v>0</v>
      </c>
      <c r="D60" s="249">
        <f>+N60</f>
        <v>2.3300000000000001E-2</v>
      </c>
      <c r="E60" s="221"/>
      <c r="F60" s="221"/>
      <c r="G60" s="226">
        <f>C60*$D$60</f>
        <v>0</v>
      </c>
      <c r="H60" s="227"/>
      <c r="I60" s="111"/>
      <c r="J60" s="111"/>
      <c r="M60" s="22" t="s">
        <v>35</v>
      </c>
      <c r="N60" s="23">
        <v>2.3300000000000001E-2</v>
      </c>
    </row>
    <row r="61" spans="1:15" ht="11.25" hidden="1" customHeight="1" x14ac:dyDescent="0.15">
      <c r="A61" s="210"/>
      <c r="B61" s="9" t="str">
        <f>IF(A8="","",A8)</f>
        <v/>
      </c>
      <c r="C61" s="135">
        <f t="shared" si="8"/>
        <v>0</v>
      </c>
      <c r="D61" s="249"/>
      <c r="E61" s="221"/>
      <c r="F61" s="221"/>
      <c r="G61" s="226">
        <f>C61*$D$60</f>
        <v>0</v>
      </c>
      <c r="H61" s="227"/>
      <c r="I61" s="111"/>
      <c r="J61" s="111"/>
      <c r="M61" s="22" t="s">
        <v>52</v>
      </c>
      <c r="N61" s="29">
        <v>13700</v>
      </c>
    </row>
    <row r="62" spans="1:15" ht="11.25" hidden="1" customHeight="1" x14ac:dyDescent="0.15">
      <c r="A62" s="210"/>
      <c r="B62" s="9" t="str">
        <f>IF(A9="","",A9)</f>
        <v/>
      </c>
      <c r="C62" s="135">
        <f t="shared" si="8"/>
        <v>0</v>
      </c>
      <c r="D62" s="249"/>
      <c r="E62" s="221"/>
      <c r="F62" s="221"/>
      <c r="G62" s="226">
        <f>C62*$D$60</f>
        <v>0</v>
      </c>
      <c r="H62" s="227"/>
      <c r="I62" s="111"/>
      <c r="J62" s="111"/>
      <c r="M62" s="22" t="s">
        <v>56</v>
      </c>
      <c r="N62" s="30">
        <v>260000</v>
      </c>
    </row>
    <row r="63" spans="1:15" ht="11.25" hidden="1" customHeight="1" x14ac:dyDescent="0.15">
      <c r="A63" s="210"/>
      <c r="B63" s="9" t="str">
        <f>IF(A10="","",A10)</f>
        <v/>
      </c>
      <c r="C63" s="135">
        <f t="shared" si="8"/>
        <v>0</v>
      </c>
      <c r="D63" s="249"/>
      <c r="E63" s="221"/>
      <c r="F63" s="221"/>
      <c r="G63" s="226">
        <f t="shared" ref="G63:G65" si="9">C63*$D$60</f>
        <v>0</v>
      </c>
      <c r="H63" s="227"/>
      <c r="I63" s="111"/>
      <c r="J63" s="111"/>
    </row>
    <row r="64" spans="1:15" ht="11.25" hidden="1" customHeight="1" x14ac:dyDescent="0.15">
      <c r="A64" s="210"/>
      <c r="B64" s="9" t="str">
        <f>IF(A11="","",A11)</f>
        <v/>
      </c>
      <c r="C64" s="135">
        <f t="shared" si="8"/>
        <v>0</v>
      </c>
      <c r="D64" s="249"/>
      <c r="E64" s="221"/>
      <c r="F64" s="221"/>
      <c r="G64" s="226">
        <f t="shared" si="9"/>
        <v>0</v>
      </c>
      <c r="H64" s="227"/>
      <c r="I64" s="111"/>
      <c r="J64" s="111"/>
    </row>
    <row r="65" spans="1:14" ht="11.25" hidden="1" customHeight="1" thickBot="1" x14ac:dyDescent="0.2">
      <c r="A65" s="219"/>
      <c r="B65" s="137" t="str">
        <f>IF(A12="","",A12)</f>
        <v/>
      </c>
      <c r="C65" s="138">
        <f t="shared" si="8"/>
        <v>0</v>
      </c>
      <c r="D65" s="250"/>
      <c r="E65" s="184"/>
      <c r="F65" s="184"/>
      <c r="G65" s="228">
        <f t="shared" si="9"/>
        <v>0</v>
      </c>
      <c r="H65" s="229"/>
      <c r="I65" s="111"/>
      <c r="J65" s="111"/>
    </row>
    <row r="66" spans="1:14" ht="11.25" hidden="1" customHeight="1" x14ac:dyDescent="0.15">
      <c r="A66" s="218" t="s">
        <v>41</v>
      </c>
      <c r="B66" s="148" t="s">
        <v>36</v>
      </c>
      <c r="C66" s="139" t="s">
        <v>170</v>
      </c>
      <c r="D66" s="243" t="s">
        <v>177</v>
      </c>
      <c r="E66" s="243"/>
      <c r="F66" s="140" t="s">
        <v>172</v>
      </c>
      <c r="G66" s="233" t="s">
        <v>40</v>
      </c>
      <c r="H66" s="234"/>
      <c r="J66" s="111"/>
    </row>
    <row r="67" spans="1:14" ht="11.25" hidden="1" customHeight="1" x14ac:dyDescent="0.15">
      <c r="A67" s="210"/>
      <c r="B67" s="149" t="str">
        <f>A7</f>
        <v>加入者１</v>
      </c>
      <c r="C67" s="141">
        <f>N61</f>
        <v>13700</v>
      </c>
      <c r="D67" s="244">
        <f>C67*E38</f>
        <v>4110</v>
      </c>
      <c r="E67" s="244"/>
      <c r="F67" s="142">
        <f t="shared" ref="F67:F72" si="10">IF(D7=1,D67*0.5,0)</f>
        <v>0</v>
      </c>
      <c r="G67" s="235">
        <f t="shared" ref="G67:G72" si="11">D67-F67</f>
        <v>4110</v>
      </c>
      <c r="H67" s="236"/>
      <c r="J67" s="111"/>
    </row>
    <row r="68" spans="1:14" ht="11.25" hidden="1" customHeight="1" x14ac:dyDescent="0.15">
      <c r="A68" s="210"/>
      <c r="B68" s="149" t="str">
        <f>IF(A8="","",A8)</f>
        <v/>
      </c>
      <c r="C68" s="143" t="str">
        <f>IF(A8="","0",N61)</f>
        <v>0</v>
      </c>
      <c r="D68" s="244">
        <f>C68*E38</f>
        <v>0</v>
      </c>
      <c r="E68" s="244"/>
      <c r="F68" s="142">
        <f t="shared" si="10"/>
        <v>0</v>
      </c>
      <c r="G68" s="235">
        <f>D68-F68</f>
        <v>0</v>
      </c>
      <c r="H68" s="236"/>
      <c r="J68" s="111"/>
    </row>
    <row r="69" spans="1:14" ht="11.25" hidden="1" customHeight="1" x14ac:dyDescent="0.15">
      <c r="A69" s="210"/>
      <c r="B69" s="149" t="str">
        <f>IF(A9="","",A9)</f>
        <v/>
      </c>
      <c r="C69" s="143" t="str">
        <f>IF(A9="","0",N61)</f>
        <v>0</v>
      </c>
      <c r="D69" s="244">
        <f>C69*E38</f>
        <v>0</v>
      </c>
      <c r="E69" s="244"/>
      <c r="F69" s="142">
        <f t="shared" si="10"/>
        <v>0</v>
      </c>
      <c r="G69" s="235">
        <f t="shared" si="11"/>
        <v>0</v>
      </c>
      <c r="H69" s="236"/>
      <c r="J69" s="111"/>
    </row>
    <row r="70" spans="1:14" ht="11.25" hidden="1" customHeight="1" x14ac:dyDescent="0.15">
      <c r="A70" s="210"/>
      <c r="B70" s="149" t="str">
        <f>IF(A10="","",A10)</f>
        <v/>
      </c>
      <c r="C70" s="143" t="str">
        <f>IF(A10="","0",N61)</f>
        <v>0</v>
      </c>
      <c r="D70" s="244">
        <f>C70*E38</f>
        <v>0</v>
      </c>
      <c r="E70" s="244"/>
      <c r="F70" s="142">
        <f t="shared" si="10"/>
        <v>0</v>
      </c>
      <c r="G70" s="235">
        <f t="shared" si="11"/>
        <v>0</v>
      </c>
      <c r="H70" s="236"/>
      <c r="J70" s="111"/>
    </row>
    <row r="71" spans="1:14" ht="11.25" hidden="1" customHeight="1" x14ac:dyDescent="0.15">
      <c r="A71" s="210"/>
      <c r="B71" s="149" t="str">
        <f>IF(A11="","",A11)</f>
        <v/>
      </c>
      <c r="C71" s="143" t="str">
        <f>IF(A11="","0",N61)</f>
        <v>0</v>
      </c>
      <c r="D71" s="244">
        <f>C71*E38</f>
        <v>0</v>
      </c>
      <c r="E71" s="244"/>
      <c r="F71" s="142">
        <f t="shared" si="10"/>
        <v>0</v>
      </c>
      <c r="G71" s="235">
        <f t="shared" si="11"/>
        <v>0</v>
      </c>
      <c r="H71" s="236"/>
      <c r="K71" s="111"/>
    </row>
    <row r="72" spans="1:14" ht="11.25" hidden="1" customHeight="1" thickBot="1" x14ac:dyDescent="0.2">
      <c r="A72" s="237"/>
      <c r="B72" s="150" t="str">
        <f>IF(A12="","",A12)</f>
        <v/>
      </c>
      <c r="C72" s="145" t="str">
        <f>IF(A12="","0",N61)</f>
        <v>0</v>
      </c>
      <c r="D72" s="245">
        <f>C72*E38</f>
        <v>0</v>
      </c>
      <c r="E72" s="245"/>
      <c r="F72" s="146">
        <f t="shared" si="10"/>
        <v>0</v>
      </c>
      <c r="G72" s="235">
        <f t="shared" si="11"/>
        <v>0</v>
      </c>
      <c r="H72" s="236"/>
      <c r="J72" s="111" t="s">
        <v>51</v>
      </c>
      <c r="K72" s="111"/>
    </row>
    <row r="73" spans="1:14" ht="17.25" hidden="1" customHeight="1" thickBot="1" x14ac:dyDescent="0.2">
      <c r="A73" s="117"/>
      <c r="B73" s="111"/>
      <c r="C73" s="111"/>
      <c r="D73" s="238" t="s">
        <v>60</v>
      </c>
      <c r="E73" s="239"/>
      <c r="F73" s="240"/>
      <c r="G73" s="241">
        <f>G60+G61+G62+G63+G64+G65+G67+G68+G69+G70+G71+G72</f>
        <v>4110</v>
      </c>
      <c r="H73" s="242"/>
      <c r="J73" s="117" t="s">
        <v>50</v>
      </c>
      <c r="K73" s="246">
        <f>ROUNDDOWN(IF(G73&gt;N62,N62,G73),0)</f>
        <v>4110</v>
      </c>
      <c r="L73" s="247"/>
      <c r="M73" s="1" t="s">
        <v>62</v>
      </c>
    </row>
    <row r="74" spans="1:14" ht="7.5" hidden="1" customHeight="1" x14ac:dyDescent="0.15">
      <c r="A74" s="111"/>
      <c r="B74" s="111"/>
      <c r="C74" s="111"/>
      <c r="D74" s="111"/>
      <c r="E74" s="111"/>
      <c r="F74" s="111"/>
      <c r="G74" s="111"/>
      <c r="H74" s="111"/>
      <c r="J74" s="258" t="s">
        <v>163</v>
      </c>
      <c r="K74" s="258"/>
    </row>
    <row r="75" spans="1:14" ht="11.25" hidden="1" customHeight="1" thickBot="1" x14ac:dyDescent="0.2">
      <c r="A75" s="111" t="s">
        <v>43</v>
      </c>
      <c r="B75" s="111"/>
      <c r="C75" s="111"/>
      <c r="D75" s="111"/>
      <c r="E75" s="111"/>
      <c r="F75" s="111"/>
      <c r="G75" s="111"/>
      <c r="H75" s="111"/>
      <c r="J75" s="258"/>
      <c r="K75" s="258"/>
    </row>
    <row r="76" spans="1:14" ht="11.25" hidden="1" customHeight="1" x14ac:dyDescent="0.15">
      <c r="A76" s="218" t="s">
        <v>35</v>
      </c>
      <c r="B76" s="132" t="s">
        <v>36</v>
      </c>
      <c r="C76" s="133" t="s">
        <v>37</v>
      </c>
      <c r="D76" s="134" t="s">
        <v>38</v>
      </c>
      <c r="E76" s="220" t="s">
        <v>39</v>
      </c>
      <c r="F76" s="220"/>
      <c r="G76" s="222" t="s">
        <v>40</v>
      </c>
      <c r="H76" s="223"/>
      <c r="J76" s="147"/>
      <c r="K76" s="147"/>
      <c r="M76" s="1" t="s">
        <v>58</v>
      </c>
      <c r="N76" s="24"/>
    </row>
    <row r="77" spans="1:14" ht="11.25" hidden="1" customHeight="1" x14ac:dyDescent="0.15">
      <c r="A77" s="210"/>
      <c r="B77" s="9" t="str">
        <f>A7</f>
        <v>加入者１</v>
      </c>
      <c r="C77" s="135">
        <f t="shared" ref="C77:C82" si="12">IF(B7=1,K7,0)</f>
        <v>0</v>
      </c>
      <c r="D77" s="250">
        <f>+N77</f>
        <v>2.0799999999999999E-2</v>
      </c>
      <c r="E77" s="221"/>
      <c r="F77" s="221"/>
      <c r="G77" s="226">
        <f>C77*$D$77</f>
        <v>0</v>
      </c>
      <c r="H77" s="227"/>
      <c r="I77" s="111"/>
      <c r="J77" s="111"/>
      <c r="M77" s="22" t="s">
        <v>35</v>
      </c>
      <c r="N77" s="23">
        <v>2.0799999999999999E-2</v>
      </c>
    </row>
    <row r="78" spans="1:14" ht="11.25" hidden="1" customHeight="1" x14ac:dyDescent="0.15">
      <c r="A78" s="210"/>
      <c r="B78" s="9" t="str">
        <f>IF(A8="","",A8)</f>
        <v/>
      </c>
      <c r="C78" s="135">
        <f t="shared" si="12"/>
        <v>0</v>
      </c>
      <c r="D78" s="259"/>
      <c r="E78" s="221"/>
      <c r="F78" s="221"/>
      <c r="G78" s="226">
        <f>C78*$D$77</f>
        <v>0</v>
      </c>
      <c r="H78" s="227"/>
      <c r="I78" s="111"/>
      <c r="J78" s="111"/>
      <c r="M78" s="22" t="s">
        <v>52</v>
      </c>
      <c r="N78" s="29">
        <v>15500</v>
      </c>
    </row>
    <row r="79" spans="1:14" ht="11.25" hidden="1" customHeight="1" x14ac:dyDescent="0.15">
      <c r="A79" s="210"/>
      <c r="B79" s="9" t="str">
        <f>IF(A9="","",A9)</f>
        <v/>
      </c>
      <c r="C79" s="135">
        <f t="shared" si="12"/>
        <v>0</v>
      </c>
      <c r="D79" s="259"/>
      <c r="E79" s="221"/>
      <c r="F79" s="221"/>
      <c r="G79" s="226">
        <f>C79*$D$77</f>
        <v>0</v>
      </c>
      <c r="H79" s="227"/>
      <c r="I79" s="111"/>
      <c r="J79" s="111"/>
      <c r="M79" s="22" t="s">
        <v>56</v>
      </c>
      <c r="N79" s="30">
        <v>170000</v>
      </c>
    </row>
    <row r="80" spans="1:14" ht="11.25" hidden="1" customHeight="1" x14ac:dyDescent="0.15">
      <c r="A80" s="210"/>
      <c r="B80" s="9" t="str">
        <f>IF(A10="","",A10)</f>
        <v/>
      </c>
      <c r="C80" s="135">
        <f t="shared" si="12"/>
        <v>0</v>
      </c>
      <c r="D80" s="259"/>
      <c r="E80" s="221"/>
      <c r="F80" s="221"/>
      <c r="G80" s="226">
        <f>C80*$D$77</f>
        <v>0</v>
      </c>
      <c r="H80" s="227"/>
      <c r="I80" s="111"/>
      <c r="J80" s="111"/>
    </row>
    <row r="81" spans="1:14" ht="11.25" hidden="1" customHeight="1" x14ac:dyDescent="0.15">
      <c r="A81" s="210"/>
      <c r="B81" s="9" t="str">
        <f>IF(A11="","",A11)</f>
        <v/>
      </c>
      <c r="C81" s="135">
        <f t="shared" si="12"/>
        <v>0</v>
      </c>
      <c r="D81" s="259"/>
      <c r="E81" s="221"/>
      <c r="F81" s="221"/>
      <c r="G81" s="226">
        <f t="shared" ref="G81:G82" si="13">C81*$D$77</f>
        <v>0</v>
      </c>
      <c r="H81" s="227"/>
      <c r="I81" s="111"/>
      <c r="J81" s="111"/>
    </row>
    <row r="82" spans="1:14" ht="11.25" hidden="1" customHeight="1" x14ac:dyDescent="0.15">
      <c r="A82" s="219"/>
      <c r="B82" s="9" t="str">
        <f>IF(A12="","",A12)</f>
        <v/>
      </c>
      <c r="C82" s="135">
        <f t="shared" si="12"/>
        <v>0</v>
      </c>
      <c r="D82" s="260"/>
      <c r="E82" s="221"/>
      <c r="F82" s="221"/>
      <c r="G82" s="226">
        <f t="shared" si="13"/>
        <v>0</v>
      </c>
      <c r="H82" s="227"/>
      <c r="I82" s="111"/>
      <c r="J82" s="111"/>
    </row>
    <row r="83" spans="1:14" ht="14.25" hidden="1" customHeight="1" thickBot="1" x14ac:dyDescent="0.2">
      <c r="A83" s="151" t="s">
        <v>41</v>
      </c>
      <c r="B83" s="251" t="str">
        <f>+("加入者数×"&amp;TEXT(N78,"#,##0")&amp;"円×"&amp;"（"&amp;"１－軽減率"&amp;"）"&amp;"です")</f>
        <v>加入者数×15,500円×（１－軽減率）です</v>
      </c>
      <c r="C83" s="252"/>
      <c r="D83" s="252"/>
      <c r="E83" s="252"/>
      <c r="F83" s="253"/>
      <c r="G83" s="254">
        <f>E28*N78*E38</f>
        <v>0</v>
      </c>
      <c r="H83" s="255"/>
      <c r="J83" s="111" t="s">
        <v>164</v>
      </c>
      <c r="K83" s="111"/>
    </row>
    <row r="84" spans="1:14" ht="17.25" hidden="1" customHeight="1" thickBot="1" x14ac:dyDescent="0.2">
      <c r="A84" s="139"/>
      <c r="B84" s="111"/>
      <c r="C84" s="111"/>
      <c r="D84" s="256" t="s">
        <v>60</v>
      </c>
      <c r="E84" s="257"/>
      <c r="F84" s="240"/>
      <c r="G84" s="241">
        <f>G77+G78+G79+G80+G81+G82+G83</f>
        <v>0</v>
      </c>
      <c r="H84" s="242"/>
      <c r="J84" s="117" t="s">
        <v>50</v>
      </c>
      <c r="K84" s="246">
        <f>ROUNDDOWN(IF(G84&gt;N79,N79,G84),0)</f>
        <v>0</v>
      </c>
      <c r="L84" s="247"/>
      <c r="M84" s="1" t="s">
        <v>62</v>
      </c>
    </row>
    <row r="85" spans="1:14" ht="7.5" hidden="1" customHeight="1" x14ac:dyDescent="0.15">
      <c r="A85" s="117"/>
      <c r="B85" s="117"/>
      <c r="C85" s="117"/>
      <c r="D85" s="117"/>
      <c r="E85" s="117"/>
      <c r="F85" s="117"/>
      <c r="G85" s="117"/>
      <c r="H85" s="117"/>
      <c r="J85" s="258" t="s">
        <v>86</v>
      </c>
      <c r="K85" s="258"/>
    </row>
    <row r="86" spans="1:14" ht="11.25" hidden="1" customHeight="1" thickBot="1" x14ac:dyDescent="0.2">
      <c r="A86" s="111" t="s">
        <v>166</v>
      </c>
      <c r="B86" s="111"/>
      <c r="C86" s="111"/>
      <c r="D86" s="111"/>
      <c r="E86" s="111"/>
      <c r="F86" s="111"/>
      <c r="G86" s="111"/>
      <c r="H86" s="111"/>
      <c r="J86" s="258"/>
      <c r="K86" s="258"/>
      <c r="L86" s="147"/>
    </row>
    <row r="87" spans="1:14" ht="11.25" hidden="1" customHeight="1" x14ac:dyDescent="0.15">
      <c r="A87" s="218" t="s">
        <v>35</v>
      </c>
      <c r="B87" s="132" t="s">
        <v>36</v>
      </c>
      <c r="C87" s="133" t="s">
        <v>37</v>
      </c>
      <c r="D87" s="134" t="s">
        <v>38</v>
      </c>
      <c r="E87" s="220" t="s">
        <v>39</v>
      </c>
      <c r="F87" s="220"/>
      <c r="G87" s="222" t="s">
        <v>40</v>
      </c>
      <c r="H87" s="223"/>
      <c r="M87" s="1" t="s">
        <v>168</v>
      </c>
      <c r="N87" s="24"/>
    </row>
    <row r="88" spans="1:14" ht="11.25" hidden="1" customHeight="1" x14ac:dyDescent="0.15">
      <c r="A88" s="210"/>
      <c r="B88" s="9" t="str">
        <f>A7</f>
        <v>加入者１</v>
      </c>
      <c r="C88" s="135">
        <f t="shared" ref="C88:C93" si="14">K7</f>
        <v>0</v>
      </c>
      <c r="D88" s="250">
        <f>+N88</f>
        <v>3.0000000000000001E-3</v>
      </c>
      <c r="E88" s="221"/>
      <c r="F88" s="221"/>
      <c r="G88" s="226">
        <f t="shared" ref="G88:G93" si="15">C88*$D$88</f>
        <v>0</v>
      </c>
      <c r="H88" s="227"/>
      <c r="M88" s="22" t="s">
        <v>35</v>
      </c>
      <c r="N88" s="23">
        <v>3.0000000000000001E-3</v>
      </c>
    </row>
    <row r="89" spans="1:14" ht="11.25" hidden="1" customHeight="1" x14ac:dyDescent="0.15">
      <c r="A89" s="210"/>
      <c r="B89" s="9" t="str">
        <f>IF(A8="","",A8)</f>
        <v/>
      </c>
      <c r="C89" s="135">
        <f t="shared" si="14"/>
        <v>0</v>
      </c>
      <c r="D89" s="259"/>
      <c r="E89" s="221"/>
      <c r="F89" s="221"/>
      <c r="G89" s="226">
        <f>C89*$D$88</f>
        <v>0</v>
      </c>
      <c r="H89" s="227"/>
      <c r="M89" s="22" t="s">
        <v>52</v>
      </c>
      <c r="N89" s="29">
        <v>1855</v>
      </c>
    </row>
    <row r="90" spans="1:14" ht="11.25" hidden="1" customHeight="1" x14ac:dyDescent="0.15">
      <c r="A90" s="210"/>
      <c r="B90" s="9" t="str">
        <f>IF(A9="","",A9)</f>
        <v/>
      </c>
      <c r="C90" s="135">
        <f t="shared" si="14"/>
        <v>0</v>
      </c>
      <c r="D90" s="259"/>
      <c r="E90" s="221"/>
      <c r="F90" s="221"/>
      <c r="G90" s="226">
        <f t="shared" si="15"/>
        <v>0</v>
      </c>
      <c r="H90" s="227"/>
      <c r="M90" s="22" t="s">
        <v>171</v>
      </c>
      <c r="N90" s="22">
        <v>105</v>
      </c>
    </row>
    <row r="91" spans="1:14" ht="11.25" hidden="1" customHeight="1" x14ac:dyDescent="0.15">
      <c r="A91" s="210"/>
      <c r="B91" s="9" t="str">
        <f>IF(A10="","",A10)</f>
        <v/>
      </c>
      <c r="C91" s="135">
        <f t="shared" si="14"/>
        <v>0</v>
      </c>
      <c r="D91" s="259"/>
      <c r="E91" s="221"/>
      <c r="F91" s="221"/>
      <c r="G91" s="226">
        <f t="shared" si="15"/>
        <v>0</v>
      </c>
      <c r="H91" s="227"/>
      <c r="M91" s="22" t="s">
        <v>56</v>
      </c>
      <c r="N91" s="30">
        <v>30000</v>
      </c>
    </row>
    <row r="92" spans="1:14" ht="11.25" hidden="1" customHeight="1" x14ac:dyDescent="0.15">
      <c r="A92" s="210"/>
      <c r="B92" s="9" t="str">
        <f>IF(A11="","",A11)</f>
        <v/>
      </c>
      <c r="C92" s="135">
        <f t="shared" si="14"/>
        <v>0</v>
      </c>
      <c r="D92" s="259"/>
      <c r="E92" s="221"/>
      <c r="F92" s="221"/>
      <c r="G92" s="226">
        <f t="shared" si="15"/>
        <v>0</v>
      </c>
      <c r="H92" s="227"/>
      <c r="J92" s="120"/>
    </row>
    <row r="93" spans="1:14" ht="11.25" hidden="1" customHeight="1" thickBot="1" x14ac:dyDescent="0.2">
      <c r="A93" s="219"/>
      <c r="B93" s="137" t="str">
        <f>IF(A12="","",A12)</f>
        <v/>
      </c>
      <c r="C93" s="138">
        <f t="shared" si="14"/>
        <v>0</v>
      </c>
      <c r="D93" s="259"/>
      <c r="E93" s="184"/>
      <c r="F93" s="184"/>
      <c r="G93" s="228">
        <f t="shared" si="15"/>
        <v>0</v>
      </c>
      <c r="H93" s="229"/>
    </row>
    <row r="94" spans="1:14" ht="11.25" hidden="1" customHeight="1" x14ac:dyDescent="0.15">
      <c r="A94" s="218" t="s">
        <v>41</v>
      </c>
      <c r="B94" s="148" t="s">
        <v>36</v>
      </c>
      <c r="C94" s="139" t="s">
        <v>170</v>
      </c>
      <c r="D94" s="152" t="s">
        <v>171</v>
      </c>
      <c r="E94" s="153" t="s">
        <v>177</v>
      </c>
      <c r="F94" s="140" t="s">
        <v>172</v>
      </c>
      <c r="G94" s="154" t="s">
        <v>173</v>
      </c>
      <c r="H94" s="155" t="s">
        <v>40</v>
      </c>
    </row>
    <row r="95" spans="1:14" ht="11.25" hidden="1" customHeight="1" x14ac:dyDescent="0.15">
      <c r="A95" s="219"/>
      <c r="B95" s="149" t="str">
        <f>A7</f>
        <v>加入者１</v>
      </c>
      <c r="C95" s="141">
        <f>N89</f>
        <v>1855</v>
      </c>
      <c r="D95" s="156">
        <f>IF(A7="","0",IF(O49=1,"0",IF(O49=0,N$90,"")))</f>
        <v>105</v>
      </c>
      <c r="E95" s="157">
        <f>(C95-(ROUNDUP(C95*(1-E38),1)))+(D95-(ROUNDUP(D95*(1-E38),1)))</f>
        <v>588</v>
      </c>
      <c r="F95" s="142">
        <f t="shared" ref="F95:F100" si="16">IF(D7=1,E95*0.5,0)</f>
        <v>0</v>
      </c>
      <c r="G95" s="158">
        <f t="shared" ref="G95:G100" si="17">IF(AND(E95*O49&gt;F95,F95&lt;&gt;0),F95,E95*O49)</f>
        <v>0</v>
      </c>
      <c r="H95" s="136">
        <f t="shared" ref="H95:H100" si="18">E95-F95-G95</f>
        <v>588</v>
      </c>
    </row>
    <row r="96" spans="1:14" ht="11.25" hidden="1" customHeight="1" x14ac:dyDescent="0.15">
      <c r="A96" s="219"/>
      <c r="B96" s="149" t="str">
        <f>IF(A8="","",A8)</f>
        <v/>
      </c>
      <c r="C96" s="143" t="str">
        <f>IF(A8="","0",N89)</f>
        <v>0</v>
      </c>
      <c r="D96" s="156" t="str">
        <f t="shared" ref="D96:D100" si="19">IF(A8="","0",IF(O50=1,"0",IF(O50=0,N$90,"")))</f>
        <v>0</v>
      </c>
      <c r="E96" s="157">
        <f>(C96-(ROUNDUP(C96*(1-E38),1)))+(D96-(ROUNDUP(D96*(1-E38),1)))</f>
        <v>0</v>
      </c>
      <c r="F96" s="142">
        <f t="shared" si="16"/>
        <v>0</v>
      </c>
      <c r="G96" s="158">
        <f t="shared" si="17"/>
        <v>0</v>
      </c>
      <c r="H96" s="136">
        <f t="shared" si="18"/>
        <v>0</v>
      </c>
    </row>
    <row r="97" spans="1:17" ht="11.25" hidden="1" customHeight="1" x14ac:dyDescent="0.15">
      <c r="A97" s="219"/>
      <c r="B97" s="149" t="str">
        <f t="shared" ref="B97:B100" si="20">IF(A9="","",A9)</f>
        <v/>
      </c>
      <c r="C97" s="143" t="str">
        <f>IF(A9="","0",N89)</f>
        <v>0</v>
      </c>
      <c r="D97" s="156" t="str">
        <f t="shared" si="19"/>
        <v>0</v>
      </c>
      <c r="E97" s="157">
        <f>(C97-(ROUNDUP(C97*(1-E38),1)))+(D97-(ROUNDUP(D97*(1-E38),1)))</f>
        <v>0</v>
      </c>
      <c r="F97" s="142">
        <f t="shared" si="16"/>
        <v>0</v>
      </c>
      <c r="G97" s="158">
        <f t="shared" si="17"/>
        <v>0</v>
      </c>
      <c r="H97" s="136">
        <f t="shared" si="18"/>
        <v>0</v>
      </c>
    </row>
    <row r="98" spans="1:17" ht="11.25" hidden="1" customHeight="1" x14ac:dyDescent="0.15">
      <c r="A98" s="219"/>
      <c r="B98" s="149" t="str">
        <f t="shared" si="20"/>
        <v/>
      </c>
      <c r="C98" s="143" t="str">
        <f>IF(A10="","0",N89)</f>
        <v>0</v>
      </c>
      <c r="D98" s="156" t="str">
        <f t="shared" si="19"/>
        <v>0</v>
      </c>
      <c r="E98" s="157">
        <f>(C98-(ROUNDUP(C98*(1-E38),1)))+(D98-(ROUNDUP(D98*(1-E38),1)))</f>
        <v>0</v>
      </c>
      <c r="F98" s="142">
        <f t="shared" si="16"/>
        <v>0</v>
      </c>
      <c r="G98" s="158">
        <f t="shared" si="17"/>
        <v>0</v>
      </c>
      <c r="H98" s="136">
        <f t="shared" si="18"/>
        <v>0</v>
      </c>
    </row>
    <row r="99" spans="1:17" ht="11.25" hidden="1" customHeight="1" x14ac:dyDescent="0.15">
      <c r="A99" s="219"/>
      <c r="B99" s="149" t="str">
        <f t="shared" si="20"/>
        <v/>
      </c>
      <c r="C99" s="143" t="str">
        <f>IF(A11="","0",N89)</f>
        <v>0</v>
      </c>
      <c r="D99" s="156" t="str">
        <f t="shared" si="19"/>
        <v>0</v>
      </c>
      <c r="E99" s="157">
        <f>(C99-(ROUNDUP(C99*(1-E38),1)))+(D99-(ROUNDUP(D99*(1-E38),1)))</f>
        <v>0</v>
      </c>
      <c r="F99" s="142">
        <f t="shared" si="16"/>
        <v>0</v>
      </c>
      <c r="G99" s="158">
        <f t="shared" si="17"/>
        <v>0</v>
      </c>
      <c r="H99" s="136">
        <f t="shared" si="18"/>
        <v>0</v>
      </c>
    </row>
    <row r="100" spans="1:17" ht="11.25" hidden="1" customHeight="1" thickBot="1" x14ac:dyDescent="0.2">
      <c r="A100" s="237"/>
      <c r="B100" s="150" t="str">
        <f t="shared" si="20"/>
        <v/>
      </c>
      <c r="C100" s="145" t="str">
        <f>IF(A12="","0",N89)</f>
        <v>0</v>
      </c>
      <c r="D100" s="156" t="str">
        <f t="shared" si="19"/>
        <v>0</v>
      </c>
      <c r="E100" s="157">
        <f>(C100-(ROUNDUP(C100*(1-E38),1)))+(D100-(ROUNDUP(D100*(1-E38),1)))</f>
        <v>0</v>
      </c>
      <c r="F100" s="159">
        <f t="shared" si="16"/>
        <v>0</v>
      </c>
      <c r="G100" s="158">
        <f t="shared" si="17"/>
        <v>0</v>
      </c>
      <c r="H100" s="136">
        <f t="shared" si="18"/>
        <v>0</v>
      </c>
      <c r="J100" s="111" t="s">
        <v>165</v>
      </c>
    </row>
    <row r="101" spans="1:17" ht="17.25" hidden="1" customHeight="1" thickBot="1" x14ac:dyDescent="0.2">
      <c r="D101" s="256" t="s">
        <v>60</v>
      </c>
      <c r="E101" s="257"/>
      <c r="F101" s="240"/>
      <c r="G101" s="241">
        <f>G88+G89+G90+G91+G92+G93+H95+H96+H97+H98+H99+H100</f>
        <v>588</v>
      </c>
      <c r="H101" s="242"/>
      <c r="J101" s="117" t="s">
        <v>50</v>
      </c>
      <c r="K101" s="246">
        <f>ROUNDDOWN(IF(G101&gt;N91,N91,G101),0)</f>
        <v>588</v>
      </c>
      <c r="L101" s="247"/>
      <c r="M101" s="1" t="s">
        <v>62</v>
      </c>
    </row>
    <row r="102" spans="1:17" ht="7.5" hidden="1" customHeight="1" x14ac:dyDescent="0.15">
      <c r="J102" s="258" t="s">
        <v>178</v>
      </c>
      <c r="K102" s="258"/>
      <c r="L102" s="147"/>
    </row>
    <row r="103" spans="1:17" ht="11.25" hidden="1" customHeight="1" x14ac:dyDescent="0.15">
      <c r="A103" s="111"/>
      <c r="B103" s="111"/>
      <c r="C103" s="111"/>
      <c r="D103" s="111"/>
      <c r="E103" s="111"/>
      <c r="J103" s="258"/>
      <c r="K103" s="258"/>
      <c r="M103" s="261" t="s">
        <v>84</v>
      </c>
      <c r="N103" s="262"/>
      <c r="O103" s="265" t="s">
        <v>85</v>
      </c>
      <c r="P103" s="261"/>
      <c r="Q103" s="262"/>
    </row>
    <row r="104" spans="1:17" ht="12" customHeight="1" thickBot="1" x14ac:dyDescent="0.2">
      <c r="A104" s="111"/>
      <c r="B104" s="111"/>
      <c r="C104" s="111"/>
      <c r="D104" s="111"/>
      <c r="E104" s="111"/>
      <c r="F104" s="111"/>
      <c r="H104" s="267" t="s">
        <v>186</v>
      </c>
      <c r="I104" s="267"/>
      <c r="J104" s="267"/>
      <c r="K104" s="289" t="s">
        <v>187</v>
      </c>
      <c r="L104" s="290"/>
      <c r="M104" s="263"/>
      <c r="N104" s="264"/>
      <c r="O104" s="266"/>
      <c r="P104" s="263"/>
      <c r="Q104" s="264"/>
    </row>
    <row r="105" spans="1:17" ht="14.25" customHeight="1" x14ac:dyDescent="0.15">
      <c r="A105" s="111"/>
      <c r="B105" s="111"/>
      <c r="C105" s="111"/>
      <c r="D105" s="111"/>
      <c r="E105" s="111"/>
      <c r="F105" s="111"/>
      <c r="H105" s="267"/>
      <c r="I105" s="267"/>
      <c r="J105" s="267"/>
      <c r="K105" s="268">
        <f>ROUNDDOWN(K55,-2)+ROUNDDOWN(K73,-2)+ROUNDDOWN(K84,-2)+ROUNDDOWN(K101,-2)</f>
        <v>16600</v>
      </c>
      <c r="L105" s="269"/>
      <c r="M105" s="272">
        <f>K105/12</f>
        <v>1383.3333333333333</v>
      </c>
      <c r="N105" s="273"/>
      <c r="O105" s="276">
        <f>K105/8</f>
        <v>2075</v>
      </c>
      <c r="P105" s="277"/>
      <c r="Q105" s="278"/>
    </row>
    <row r="106" spans="1:17" ht="15" customHeight="1" thickBot="1" x14ac:dyDescent="0.2">
      <c r="G106" s="287"/>
      <c r="H106" s="287"/>
      <c r="I106" s="287"/>
      <c r="J106" s="288"/>
      <c r="K106" s="270"/>
      <c r="L106" s="271"/>
      <c r="M106" s="274"/>
      <c r="N106" s="275"/>
      <c r="O106" s="279"/>
      <c r="P106" s="280"/>
      <c r="Q106" s="281"/>
    </row>
    <row r="107" spans="1:17" ht="19.5" customHeight="1" thickBot="1" x14ac:dyDescent="0.2">
      <c r="G107" s="160"/>
      <c r="H107" s="160"/>
      <c r="I107" s="160"/>
      <c r="J107" s="160"/>
      <c r="K107" s="261" t="s">
        <v>188</v>
      </c>
      <c r="L107" s="261"/>
      <c r="M107" s="78"/>
      <c r="N107" s="78"/>
      <c r="O107" s="79"/>
      <c r="P107" s="79"/>
      <c r="Q107" s="79"/>
    </row>
    <row r="108" spans="1:17" ht="12.75" customHeight="1" x14ac:dyDescent="0.15">
      <c r="G108" s="160"/>
      <c r="H108" s="160"/>
      <c r="I108" s="160"/>
      <c r="J108" s="160"/>
      <c r="K108" s="291">
        <f>ROUNDUP(K105/12,0)</f>
        <v>1384</v>
      </c>
      <c r="L108" s="292"/>
      <c r="M108" s="78"/>
      <c r="N108" s="78"/>
      <c r="O108" s="79"/>
      <c r="P108" s="79"/>
      <c r="Q108" s="79"/>
    </row>
    <row r="109" spans="1:17" ht="12.75" customHeight="1" thickBot="1" x14ac:dyDescent="0.2">
      <c r="G109" s="160"/>
      <c r="H109" s="160"/>
      <c r="I109" s="160"/>
      <c r="J109" s="160"/>
      <c r="K109" s="293"/>
      <c r="L109" s="294"/>
      <c r="M109" s="78"/>
      <c r="N109" s="78"/>
      <c r="O109" s="79"/>
      <c r="P109" s="79"/>
      <c r="Q109" s="79"/>
    </row>
    <row r="110" spans="1:17" ht="14.25" x14ac:dyDescent="0.15">
      <c r="A110" s="161" t="s">
        <v>189</v>
      </c>
      <c r="M110" s="261" t="s">
        <v>99</v>
      </c>
      <c r="N110" s="261"/>
      <c r="O110" s="261" t="s">
        <v>98</v>
      </c>
      <c r="P110" s="261"/>
      <c r="Q110" s="261"/>
    </row>
    <row r="111" spans="1:17" ht="14.25" x14ac:dyDescent="0.15">
      <c r="A111" s="161" t="s">
        <v>190</v>
      </c>
    </row>
    <row r="112" spans="1:17" ht="12" customHeight="1" x14ac:dyDescent="0.15"/>
    <row r="113" spans="12:22" ht="12" customHeight="1" x14ac:dyDescent="0.15"/>
    <row r="114" spans="12:22" hidden="1" x14ac:dyDescent="0.15"/>
    <row r="115" spans="12:22" hidden="1" x14ac:dyDescent="0.15"/>
    <row r="116" spans="12:22" hidden="1" x14ac:dyDescent="0.15">
      <c r="N116" s="31" t="s">
        <v>88</v>
      </c>
      <c r="O116" s="31" t="s">
        <v>89</v>
      </c>
      <c r="P116" s="31" t="s">
        <v>90</v>
      </c>
      <c r="Q116" s="31" t="s">
        <v>91</v>
      </c>
      <c r="R116" s="31" t="s">
        <v>92</v>
      </c>
      <c r="S116" s="31" t="s">
        <v>93</v>
      </c>
      <c r="T116" s="31" t="s">
        <v>94</v>
      </c>
      <c r="U116" s="31" t="s">
        <v>95</v>
      </c>
    </row>
    <row r="117" spans="12:22" ht="16.5" hidden="1" x14ac:dyDescent="0.15">
      <c r="L117" s="284" t="str">
        <f>M5&amp;"年度6月本算定以前"</f>
        <v>2025年度6月本算定以前</v>
      </c>
      <c r="M117" s="286"/>
      <c r="N117" s="32">
        <f>$K$105-SUM(O117:U117)</f>
        <v>2600</v>
      </c>
      <c r="O117" s="32">
        <f t="shared" ref="O117:U117" si="21">ROUNDDOWN($K$105/8,-2)</f>
        <v>2000</v>
      </c>
      <c r="P117" s="32">
        <f t="shared" si="21"/>
        <v>2000</v>
      </c>
      <c r="Q117" s="32">
        <f t="shared" si="21"/>
        <v>2000</v>
      </c>
      <c r="R117" s="32">
        <f t="shared" si="21"/>
        <v>2000</v>
      </c>
      <c r="S117" s="32">
        <f t="shared" si="21"/>
        <v>2000</v>
      </c>
      <c r="T117" s="32">
        <f t="shared" si="21"/>
        <v>2000</v>
      </c>
      <c r="U117" s="32">
        <f t="shared" si="21"/>
        <v>2000</v>
      </c>
    </row>
    <row r="118" spans="12:22" ht="16.5" hidden="1" x14ac:dyDescent="0.15">
      <c r="L118" s="284" t="str">
        <f>M5&amp;"年度 8月更正以前"</f>
        <v>2025年度 8月更正以前</v>
      </c>
      <c r="M118" s="286"/>
      <c r="N118" s="33" t="s">
        <v>96</v>
      </c>
      <c r="O118" s="32">
        <f>$K$105-SUM(P118:U118)</f>
        <v>2800</v>
      </c>
      <c r="P118" s="32">
        <f t="shared" ref="P118:U118" si="22">ROUNDDOWN($K$105/7,-2)</f>
        <v>2300</v>
      </c>
      <c r="Q118" s="32">
        <f t="shared" si="22"/>
        <v>2300</v>
      </c>
      <c r="R118" s="32">
        <f t="shared" si="22"/>
        <v>2300</v>
      </c>
      <c r="S118" s="32">
        <f t="shared" si="22"/>
        <v>2300</v>
      </c>
      <c r="T118" s="32">
        <f t="shared" si="22"/>
        <v>2300</v>
      </c>
      <c r="U118" s="32">
        <f t="shared" si="22"/>
        <v>2300</v>
      </c>
    </row>
    <row r="119" spans="12:22" ht="16.5" hidden="1" x14ac:dyDescent="0.15">
      <c r="L119" s="284" t="str">
        <f>M5&amp;"年度 9月更正以前"</f>
        <v>2025年度 9月更正以前</v>
      </c>
      <c r="M119" s="285"/>
      <c r="N119" s="33" t="s">
        <v>96</v>
      </c>
      <c r="O119" s="33"/>
      <c r="P119" s="32">
        <f>$K$105-SUM(Q119:U119)</f>
        <v>3100</v>
      </c>
      <c r="Q119" s="32">
        <f>ROUNDDOWN($K$105/6,-2)</f>
        <v>2700</v>
      </c>
      <c r="R119" s="32">
        <f>ROUNDDOWN($K$105/6,-2)</f>
        <v>2700</v>
      </c>
      <c r="S119" s="32">
        <f>ROUNDDOWN($K$105/6,-2)</f>
        <v>2700</v>
      </c>
      <c r="T119" s="32">
        <f>ROUNDDOWN($K$105/6,-2)</f>
        <v>2700</v>
      </c>
      <c r="U119" s="32">
        <f>ROUNDDOWN($K$105/6,-2)</f>
        <v>2700</v>
      </c>
    </row>
    <row r="120" spans="12:22" ht="16.5" hidden="1" x14ac:dyDescent="0.15">
      <c r="L120" s="284" t="str">
        <f>M5&amp;"年度10月更正以前"</f>
        <v>2025年度10月更正以前</v>
      </c>
      <c r="M120" s="285"/>
      <c r="N120" s="33" t="s">
        <v>96</v>
      </c>
      <c r="O120" s="33"/>
      <c r="P120" s="33"/>
      <c r="Q120" s="32">
        <f>$K$105-SUM(R120:U120)</f>
        <v>3400</v>
      </c>
      <c r="R120" s="32">
        <f>ROUNDDOWN($K$105/5,-2)</f>
        <v>3300</v>
      </c>
      <c r="S120" s="32">
        <f>ROUNDDOWN($K$105/5,-2)</f>
        <v>3300</v>
      </c>
      <c r="T120" s="32">
        <f>ROUNDDOWN($K$105/5,-2)</f>
        <v>3300</v>
      </c>
      <c r="U120" s="32">
        <f>ROUNDDOWN($K$105/5,-2)</f>
        <v>3300</v>
      </c>
    </row>
    <row r="121" spans="12:22" ht="16.5" hidden="1" x14ac:dyDescent="0.15">
      <c r="L121" s="284" t="str">
        <f>M5&amp;"年度11月更正以前"</f>
        <v>2025年度11月更正以前</v>
      </c>
      <c r="M121" s="285"/>
      <c r="N121" s="33" t="s">
        <v>96</v>
      </c>
      <c r="O121" s="33"/>
      <c r="P121" s="33"/>
      <c r="Q121" s="33"/>
      <c r="R121" s="32">
        <f>$K$105-SUM(S121:U121)</f>
        <v>4300</v>
      </c>
      <c r="S121" s="32">
        <f>ROUNDDOWN($K$105/4,-2)</f>
        <v>4100</v>
      </c>
      <c r="T121" s="32">
        <f>ROUNDDOWN($K$105/4,-2)</f>
        <v>4100</v>
      </c>
      <c r="U121" s="32">
        <f>ROUNDDOWN($K$105/4,-2)</f>
        <v>4100</v>
      </c>
    </row>
    <row r="122" spans="12:22" ht="16.5" hidden="1" x14ac:dyDescent="0.15">
      <c r="L122" s="284" t="str">
        <f>M5&amp;"年度12月更正以前"</f>
        <v>2025年度12月更正以前</v>
      </c>
      <c r="M122" s="285"/>
      <c r="N122" s="33" t="s">
        <v>96</v>
      </c>
      <c r="O122" s="33"/>
      <c r="P122" s="33"/>
      <c r="Q122" s="33"/>
      <c r="R122" s="33"/>
      <c r="S122" s="32">
        <f>$K$105-SUM(T122:U122)</f>
        <v>5600</v>
      </c>
      <c r="T122" s="32">
        <f>ROUNDDOWN($K$105/3,-2)</f>
        <v>5500</v>
      </c>
      <c r="U122" s="32">
        <f>ROUNDDOWN($K$105/3,-2)</f>
        <v>5500</v>
      </c>
    </row>
    <row r="123" spans="12:22" ht="16.5" hidden="1" x14ac:dyDescent="0.15">
      <c r="L123" s="284" t="str">
        <f>M5&amp;"年度 1月更正以前"</f>
        <v>2025年度 1月更正以前</v>
      </c>
      <c r="M123" s="285"/>
      <c r="N123" s="33" t="s">
        <v>96</v>
      </c>
      <c r="O123" s="33"/>
      <c r="P123" s="33"/>
      <c r="Q123" s="33"/>
      <c r="R123" s="33"/>
      <c r="S123" s="33"/>
      <c r="T123" s="32">
        <f>$K$105-SUM(U123:U123)</f>
        <v>8300</v>
      </c>
      <c r="U123" s="32">
        <f>ROUNDDOWN($K$105/2,-2)</f>
        <v>8300</v>
      </c>
    </row>
    <row r="124" spans="12:22" ht="16.5" hidden="1" x14ac:dyDescent="0.15">
      <c r="L124" s="284" t="str">
        <f>M5&amp;"年度 2月更正以前"</f>
        <v>2025年度 2月更正以前</v>
      </c>
      <c r="M124" s="286"/>
      <c r="N124" s="33" t="s">
        <v>96</v>
      </c>
      <c r="O124" s="33"/>
      <c r="P124" s="33"/>
      <c r="Q124" s="33"/>
      <c r="R124" s="33"/>
      <c r="S124" s="33"/>
      <c r="T124" s="33"/>
      <c r="U124" s="32">
        <f>ROUNDDOWN($K$105/1,-2)</f>
        <v>16600</v>
      </c>
      <c r="V124" s="31" t="s">
        <v>97</v>
      </c>
    </row>
    <row r="125" spans="12:22" ht="16.5" hidden="1" x14ac:dyDescent="0.15">
      <c r="L125" s="284" t="str">
        <f>M5&amp;"年度 2月更正以降"</f>
        <v>2025年度 2月更正以降</v>
      </c>
      <c r="M125" s="286"/>
      <c r="N125" s="33" t="s">
        <v>96</v>
      </c>
      <c r="O125" s="33"/>
      <c r="P125" s="33"/>
      <c r="Q125" s="33"/>
      <c r="R125" s="33"/>
      <c r="S125" s="33"/>
      <c r="T125" s="33"/>
      <c r="U125" s="33"/>
      <c r="V125" s="32">
        <f>ROUNDDOWN($K$105/1,-2)</f>
        <v>16600</v>
      </c>
    </row>
    <row r="126" spans="12:22" hidden="1" x14ac:dyDescent="0.15">
      <c r="N126" s="282" t="s">
        <v>102</v>
      </c>
      <c r="O126" s="282"/>
      <c r="P126" s="282"/>
      <c r="Q126" s="282"/>
      <c r="R126" s="282"/>
      <c r="V126" s="1" t="s">
        <v>100</v>
      </c>
    </row>
    <row r="127" spans="12:22" hidden="1" x14ac:dyDescent="0.15">
      <c r="N127" s="283"/>
      <c r="O127" s="283"/>
      <c r="P127" s="283"/>
      <c r="Q127" s="283"/>
      <c r="R127" s="283"/>
      <c r="V127" s="1" t="s">
        <v>101</v>
      </c>
    </row>
    <row r="128" spans="12:22" hidden="1" x14ac:dyDescent="0.15"/>
    <row r="129" hidden="1" x14ac:dyDescent="0.15"/>
    <row r="130" hidden="1" x14ac:dyDescent="0.15"/>
    <row r="131" hidden="1" x14ac:dyDescent="0.15"/>
    <row r="132" hidden="1" x14ac:dyDescent="0.15"/>
    <row r="133" hidden="1" x14ac:dyDescent="0.15"/>
    <row r="134" hidden="1" x14ac:dyDescent="0.15"/>
    <row r="135" hidden="1" x14ac:dyDescent="0.15"/>
  </sheetData>
  <sheetProtection algorithmName="SHA-512" hashValue="QQlW+8mWWT9iv9QLQKodmdEmi8JagI4+RH+Mz9kwroqCAvwupeDCeTgjbcskeGiRSQT8DNQuG0BqjdZ3DT0G2A==" saltValue="ZhvBY4m54s2v1QfwfEO6yQ==" spinCount="100000" sheet="1" objects="1" scenarios="1"/>
  <mergeCells count="130">
    <mergeCell ref="K107:L107"/>
    <mergeCell ref="J102:K103"/>
    <mergeCell ref="M103:N104"/>
    <mergeCell ref="O103:Q104"/>
    <mergeCell ref="H104:J105"/>
    <mergeCell ref="K105:L106"/>
    <mergeCell ref="M105:N106"/>
    <mergeCell ref="O105:Q106"/>
    <mergeCell ref="N126:R127"/>
    <mergeCell ref="L120:M120"/>
    <mergeCell ref="L121:M121"/>
    <mergeCell ref="L122:M122"/>
    <mergeCell ref="L123:M123"/>
    <mergeCell ref="L124:M124"/>
    <mergeCell ref="L125:M125"/>
    <mergeCell ref="G106:J106"/>
    <mergeCell ref="M110:N110"/>
    <mergeCell ref="O110:Q110"/>
    <mergeCell ref="L117:M117"/>
    <mergeCell ref="L118:M118"/>
    <mergeCell ref="L119:M119"/>
    <mergeCell ref="K104:L104"/>
    <mergeCell ref="K108:L109"/>
    <mergeCell ref="A94:A100"/>
    <mergeCell ref="D101:F101"/>
    <mergeCell ref="G101:H101"/>
    <mergeCell ref="J85:K86"/>
    <mergeCell ref="A87:A93"/>
    <mergeCell ref="E87:F93"/>
    <mergeCell ref="G87:H87"/>
    <mergeCell ref="D88:D93"/>
    <mergeCell ref="G88:H88"/>
    <mergeCell ref="G89:H89"/>
    <mergeCell ref="G90:H90"/>
    <mergeCell ref="G91:H91"/>
    <mergeCell ref="G92:H92"/>
    <mergeCell ref="G93:H93"/>
    <mergeCell ref="K101:L101"/>
    <mergeCell ref="B83:F83"/>
    <mergeCell ref="G83:H83"/>
    <mergeCell ref="D84:F84"/>
    <mergeCell ref="G84:H84"/>
    <mergeCell ref="K84:L84"/>
    <mergeCell ref="J74:K75"/>
    <mergeCell ref="A76:A82"/>
    <mergeCell ref="E76:F82"/>
    <mergeCell ref="G76:H76"/>
    <mergeCell ref="D77:D82"/>
    <mergeCell ref="G77:H77"/>
    <mergeCell ref="G78:H78"/>
    <mergeCell ref="G79:H79"/>
    <mergeCell ref="G80:H80"/>
    <mergeCell ref="G81:H81"/>
    <mergeCell ref="D73:F73"/>
    <mergeCell ref="G73:H73"/>
    <mergeCell ref="K73:L73"/>
    <mergeCell ref="G61:H61"/>
    <mergeCell ref="G62:H62"/>
    <mergeCell ref="G63:H63"/>
    <mergeCell ref="G64:H64"/>
    <mergeCell ref="G65:H65"/>
    <mergeCell ref="G82:H82"/>
    <mergeCell ref="D72:E72"/>
    <mergeCell ref="K55:L55"/>
    <mergeCell ref="J56:K57"/>
    <mergeCell ref="A59:A65"/>
    <mergeCell ref="E59:F65"/>
    <mergeCell ref="G59:H59"/>
    <mergeCell ref="D60:D65"/>
    <mergeCell ref="G60:H60"/>
    <mergeCell ref="G70:H70"/>
    <mergeCell ref="G71:H71"/>
    <mergeCell ref="D67:E67"/>
    <mergeCell ref="D68:E68"/>
    <mergeCell ref="D69:E69"/>
    <mergeCell ref="D70:E70"/>
    <mergeCell ref="D71:E71"/>
    <mergeCell ref="A48:A54"/>
    <mergeCell ref="G48:H48"/>
    <mergeCell ref="G49:H49"/>
    <mergeCell ref="G50:H50"/>
    <mergeCell ref="G51:H51"/>
    <mergeCell ref="G52:H52"/>
    <mergeCell ref="G53:H53"/>
    <mergeCell ref="A66:A72"/>
    <mergeCell ref="G66:H66"/>
    <mergeCell ref="G67:H67"/>
    <mergeCell ref="G68:H68"/>
    <mergeCell ref="G69:H69"/>
    <mergeCell ref="G54:H54"/>
    <mergeCell ref="D55:F55"/>
    <mergeCell ref="G55:H55"/>
    <mergeCell ref="G72:H72"/>
    <mergeCell ref="D48:E48"/>
    <mergeCell ref="D49:E49"/>
    <mergeCell ref="D50:E50"/>
    <mergeCell ref="D51:E51"/>
    <mergeCell ref="D52:E52"/>
    <mergeCell ref="D53:E53"/>
    <mergeCell ref="D54:E54"/>
    <mergeCell ref="D66:E66"/>
    <mergeCell ref="J39:J40"/>
    <mergeCell ref="A41:A47"/>
    <mergeCell ref="E41:F47"/>
    <mergeCell ref="G41:H41"/>
    <mergeCell ref="D42:D47"/>
    <mergeCell ref="G42:H42"/>
    <mergeCell ref="G43:H43"/>
    <mergeCell ref="G44:H44"/>
    <mergeCell ref="G45:H45"/>
    <mergeCell ref="G46:H46"/>
    <mergeCell ref="G47:H47"/>
    <mergeCell ref="A33:B33"/>
    <mergeCell ref="C33:F33"/>
    <mergeCell ref="H33:I35"/>
    <mergeCell ref="A34:B34"/>
    <mergeCell ref="C34:F34"/>
    <mergeCell ref="A35:B35"/>
    <mergeCell ref="C35:F35"/>
    <mergeCell ref="A36:B36"/>
    <mergeCell ref="C36:I36"/>
    <mergeCell ref="P8:P10"/>
    <mergeCell ref="S10:X10"/>
    <mergeCell ref="A14:C14"/>
    <mergeCell ref="H14:K14"/>
    <mergeCell ref="O14:Q14"/>
    <mergeCell ref="G28:I28"/>
    <mergeCell ref="A32:B32"/>
    <mergeCell ref="C32:F32"/>
    <mergeCell ref="H32:I32"/>
  </mergeCells>
  <phoneticPr fontId="1"/>
  <dataValidations count="10">
    <dataValidation type="list" allowBlank="1" showInputMessage="1" showErrorMessage="1" sqref="A12" xr:uid="{70AF1113-C873-464D-8D3D-799689E0806F}">
      <formula1>$W$11:$W$12</formula1>
    </dataValidation>
    <dataValidation type="list" allowBlank="1" showInputMessage="1" showErrorMessage="1" sqref="E38" xr:uid="{76576E8F-BE14-4D14-9506-DFBC0A23C4D1}">
      <formula1>$Q$9:$Q$12</formula1>
    </dataValidation>
    <dataValidation type="list" allowBlank="1" showInputMessage="1" showErrorMessage="1" sqref="A11" xr:uid="{F82F942C-8257-4901-8409-B4C85A44279E}">
      <formula1>$V$11:$V$12</formula1>
    </dataValidation>
    <dataValidation type="list" allowBlank="1" showInputMessage="1" showErrorMessage="1" sqref="A10" xr:uid="{02D94826-2016-4F33-BF23-E82AA2EB0361}">
      <formula1>$U$11:$U$12</formula1>
    </dataValidation>
    <dataValidation type="list" allowBlank="1" showInputMessage="1" showErrorMessage="1" sqref="A9" xr:uid="{71B2A24A-3DF7-406A-8D78-60D27E34F278}">
      <formula1>$T$11:$T$12</formula1>
    </dataValidation>
    <dataValidation type="list" allowBlank="1" showInputMessage="1" showErrorMessage="1" sqref="A8" xr:uid="{6FB7A9B7-1CF3-4FFE-B871-3953F4AF402D}">
      <formula1>$S$11:$S$12</formula1>
    </dataValidation>
    <dataValidation type="list" allowBlank="1" showInputMessage="1" showErrorMessage="1" sqref="J33:J37" xr:uid="{F0061355-CCB3-4B18-91B8-BFC656EC5CFD}">
      <formula1>$R$11:$R$12</formula1>
    </dataValidation>
    <dataValidation type="list" allowBlank="1" showInputMessage="1" showErrorMessage="1" sqref="C7:C13" xr:uid="{7A024283-E4D0-46AB-A847-C346CCDA6B89}">
      <formula1>$P$11:$P$12</formula1>
    </dataValidation>
    <dataValidation type="list" showInputMessage="1" sqref="D14" xr:uid="{D1076AB9-0111-4625-AF45-A4EC39FDC5FC}">
      <formula1>$M$15:$M$17</formula1>
    </dataValidation>
    <dataValidation type="list" allowBlank="1" showInputMessage="1" showErrorMessage="1" sqref="B7:B12 D7:E12" xr:uid="{8024C3DF-BEEA-4F46-9A1E-27B68496EB3A}">
      <formula1>$O$11:$O$12</formula1>
    </dataValidation>
  </dataValidations>
  <hyperlinks>
    <hyperlink ref="A16" r:id="rId1" display="　こちら" xr:uid="{76CBEA45-0052-490E-8B50-54C95F438CCB}"/>
    <hyperlink ref="F6" location="収入→所得2026!A1" display="収入→所得2026!A1" xr:uid="{C31DEED2-26CD-4EEA-B718-970DA746063D}"/>
    <hyperlink ref="G6" location="収入→所得2026!A1" display="年金所得" xr:uid="{834503F2-694A-4A2F-8B45-14675A0E1619}"/>
  </hyperlinks>
  <pageMargins left="0.19685039370078741" right="0.19685039370078741" top="0.39370078740157483" bottom="0.19685039370078741" header="0.51181102362204722" footer="0.51181102362204722"/>
  <pageSetup paperSize="9" scale="87"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A448-983E-420F-8C06-B803D9E06A00}">
  <sheetPr>
    <tabColor rgb="FF92D050"/>
  </sheetPr>
  <dimension ref="A1:AH68"/>
  <sheetViews>
    <sheetView view="pageBreakPreview" zoomScale="115" zoomScaleNormal="100" zoomScaleSheetLayoutView="115" workbookViewId="0">
      <selection activeCell="E10" sqref="E10"/>
    </sheetView>
  </sheetViews>
  <sheetFormatPr defaultColWidth="9" defaultRowHeight="13.5" x14ac:dyDescent="0.15"/>
  <cols>
    <col min="1" max="1" width="8.125" style="19" customWidth="1"/>
    <col min="2" max="2" width="12.625" style="19" customWidth="1"/>
    <col min="3" max="3" width="6.75" style="19" customWidth="1"/>
    <col min="4" max="4" width="3.375" style="25" bestFit="1" customWidth="1"/>
    <col min="5" max="5" width="10.25" style="27" bestFit="1" customWidth="1"/>
    <col min="6" max="6" width="15.375" style="26" bestFit="1" customWidth="1"/>
    <col min="7" max="7" width="2.25" style="25" customWidth="1"/>
    <col min="8" max="8" width="15.375" style="26" bestFit="1" customWidth="1"/>
    <col min="9" max="9" width="8.375" style="34" customWidth="1"/>
    <col min="10" max="10" width="9" style="34" hidden="1" customWidth="1"/>
    <col min="11" max="12" width="0" style="34" hidden="1" customWidth="1"/>
    <col min="13" max="13" width="9" style="34"/>
    <col min="14" max="19" width="9" style="20"/>
    <col min="20" max="34" width="9" style="21"/>
    <col min="35" max="16384" width="9" style="19"/>
  </cols>
  <sheetData>
    <row r="1" spans="1:10" ht="18.75" customHeight="1" x14ac:dyDescent="0.15">
      <c r="A1" s="162" t="s">
        <v>201</v>
      </c>
      <c r="E1" s="163"/>
      <c r="F1" s="164"/>
      <c r="G1" s="165"/>
      <c r="H1" s="166"/>
    </row>
    <row r="2" spans="1:10" ht="14.25" thickBot="1" x14ac:dyDescent="0.2">
      <c r="B2" s="19" t="s">
        <v>130</v>
      </c>
      <c r="D2" s="167"/>
      <c r="E2" s="28"/>
      <c r="F2" s="295" t="s">
        <v>78</v>
      </c>
      <c r="G2" s="295"/>
      <c r="H2" s="295"/>
      <c r="J2" s="34" t="s">
        <v>132</v>
      </c>
    </row>
    <row r="3" spans="1:10" ht="14.25" thickBot="1" x14ac:dyDescent="0.2">
      <c r="B3" s="80"/>
      <c r="D3" s="168" t="str">
        <f t="shared" ref="D3:D8" si="0">IF(E3="×","×","○")</f>
        <v>○</v>
      </c>
      <c r="E3" s="35">
        <f>IF(B3&lt;651000,0,"×")</f>
        <v>0</v>
      </c>
      <c r="F3" s="169" t="s">
        <v>64</v>
      </c>
      <c r="G3" s="170" t="s">
        <v>69</v>
      </c>
      <c r="H3" s="171" t="s">
        <v>158</v>
      </c>
      <c r="J3" s="34" t="s">
        <v>134</v>
      </c>
    </row>
    <row r="4" spans="1:10" x14ac:dyDescent="0.15">
      <c r="D4" s="168" t="str">
        <f t="shared" si="0"/>
        <v>×</v>
      </c>
      <c r="E4" s="35" t="str">
        <f>IF(AND(B3&gt;=651000,B3&lt;1900000),B3-650000,"×")</f>
        <v>×</v>
      </c>
      <c r="F4" s="169" t="s">
        <v>160</v>
      </c>
      <c r="G4" s="170" t="s">
        <v>69</v>
      </c>
      <c r="H4" s="171" t="s">
        <v>161</v>
      </c>
      <c r="J4" s="34" t="s">
        <v>162</v>
      </c>
    </row>
    <row r="5" spans="1:10" x14ac:dyDescent="0.15">
      <c r="B5" s="19" t="s">
        <v>131</v>
      </c>
      <c r="D5" s="168" t="str">
        <f t="shared" si="0"/>
        <v>×</v>
      </c>
      <c r="E5" s="35" t="str">
        <f>IF(AND(B3&gt;=1900000,B3&lt;3600000),(ROUNDDOWN(B3/4,-3)*2.8)-80000,"×")</f>
        <v>×</v>
      </c>
      <c r="F5" s="169" t="s">
        <v>159</v>
      </c>
      <c r="G5" s="170" t="s">
        <v>69</v>
      </c>
      <c r="H5" s="171" t="s">
        <v>65</v>
      </c>
      <c r="J5" s="34" t="s">
        <v>117</v>
      </c>
    </row>
    <row r="6" spans="1:10" x14ac:dyDescent="0.15">
      <c r="B6" s="19">
        <f>TRUNC(VLOOKUP("○",D3:E8,2,0))</f>
        <v>0</v>
      </c>
      <c r="D6" s="168" t="str">
        <f t="shared" si="0"/>
        <v>×</v>
      </c>
      <c r="E6" s="35" t="str">
        <f>IF(AND(B3&gt;=3600000,B3&lt;6600000),(ROUNDDOWN(B3/4,-3)*3.2)-440000,"×")</f>
        <v>×</v>
      </c>
      <c r="F6" s="169" t="s">
        <v>67</v>
      </c>
      <c r="G6" s="170" t="s">
        <v>69</v>
      </c>
      <c r="H6" s="171" t="s">
        <v>66</v>
      </c>
      <c r="J6" s="34" t="s">
        <v>118</v>
      </c>
    </row>
    <row r="7" spans="1:10" x14ac:dyDescent="0.15">
      <c r="D7" s="168" t="str">
        <f t="shared" si="0"/>
        <v>×</v>
      </c>
      <c r="E7" s="35" t="str">
        <f>IF(AND(B3&gt;=6600000,B3&lt;8500000),ROUNDDOWN((B3*0.9)-1100000,0),"×")</f>
        <v>×</v>
      </c>
      <c r="F7" s="169" t="s">
        <v>68</v>
      </c>
      <c r="G7" s="170" t="s">
        <v>69</v>
      </c>
      <c r="H7" s="171" t="s">
        <v>103</v>
      </c>
      <c r="J7" s="34" t="s">
        <v>119</v>
      </c>
    </row>
    <row r="8" spans="1:10" x14ac:dyDescent="0.15">
      <c r="D8" s="168" t="str">
        <f t="shared" si="0"/>
        <v>×</v>
      </c>
      <c r="E8" s="35" t="str">
        <f>IF(B3&gt;=8500000,ROUNDDOWN(B3-1950000,0),"×")</f>
        <v>×</v>
      </c>
      <c r="F8" s="169" t="s">
        <v>104</v>
      </c>
      <c r="G8" s="170" t="s">
        <v>69</v>
      </c>
      <c r="H8" s="171"/>
      <c r="J8" s="34" t="s">
        <v>120</v>
      </c>
    </row>
    <row r="9" spans="1:10" ht="7.5" customHeight="1" x14ac:dyDescent="0.15">
      <c r="D9" s="19"/>
      <c r="E9" s="19"/>
      <c r="F9" s="19"/>
      <c r="G9" s="19"/>
      <c r="H9" s="19"/>
    </row>
    <row r="10" spans="1:10" ht="18.75" customHeight="1" x14ac:dyDescent="0.15">
      <c r="A10" s="162" t="s">
        <v>202</v>
      </c>
      <c r="E10" s="163"/>
      <c r="F10" s="172"/>
      <c r="H10" s="173"/>
    </row>
    <row r="11" spans="1:10" x14ac:dyDescent="0.15">
      <c r="A11" s="174" t="s">
        <v>203</v>
      </c>
      <c r="E11" s="163"/>
      <c r="F11" s="172"/>
      <c r="H11" s="173"/>
    </row>
    <row r="12" spans="1:10" ht="14.25" thickBot="1" x14ac:dyDescent="0.2">
      <c r="B12" s="19" t="s">
        <v>44</v>
      </c>
      <c r="D12" s="167"/>
      <c r="E12" s="28"/>
      <c r="F12" s="295" t="s">
        <v>79</v>
      </c>
      <c r="G12" s="295"/>
      <c r="H12" s="295"/>
      <c r="J12" s="34" t="s">
        <v>132</v>
      </c>
    </row>
    <row r="13" spans="1:10" ht="14.25" thickBot="1" x14ac:dyDescent="0.2">
      <c r="B13" s="80"/>
      <c r="D13" s="168" t="str">
        <f t="shared" ref="D13:D18" si="1">IF(E13="×","×","○")</f>
        <v>○</v>
      </c>
      <c r="E13" s="35">
        <f>IF(B13&lt;1100000,0,"×")</f>
        <v>0</v>
      </c>
      <c r="F13" s="169" t="s">
        <v>64</v>
      </c>
      <c r="G13" s="170" t="s">
        <v>69</v>
      </c>
      <c r="H13" s="171" t="s">
        <v>121</v>
      </c>
      <c r="J13" s="34" t="s">
        <v>134</v>
      </c>
    </row>
    <row r="14" spans="1:10" x14ac:dyDescent="0.15">
      <c r="D14" s="168" t="str">
        <f t="shared" si="1"/>
        <v>×</v>
      </c>
      <c r="E14" s="35" t="str">
        <f>IF(AND(B13&gt;=1100000,B13&lt;3300000),B13-1100000,"×")</f>
        <v>×</v>
      </c>
      <c r="F14" s="169" t="s">
        <v>116</v>
      </c>
      <c r="G14" s="170" t="s">
        <v>69</v>
      </c>
      <c r="H14" s="171" t="s">
        <v>70</v>
      </c>
      <c r="I14" s="175"/>
      <c r="J14" s="34" t="s">
        <v>133</v>
      </c>
    </row>
    <row r="15" spans="1:10" x14ac:dyDescent="0.15">
      <c r="B15" s="19" t="s">
        <v>45</v>
      </c>
      <c r="D15" s="168" t="str">
        <f t="shared" si="1"/>
        <v>×</v>
      </c>
      <c r="E15" s="35" t="str">
        <f>IF(AND(B13&gt;=3300000,B13&lt;4100000),(B13*0.75)-275000,"×")</f>
        <v>×</v>
      </c>
      <c r="F15" s="169" t="s">
        <v>74</v>
      </c>
      <c r="G15" s="170" t="s">
        <v>69</v>
      </c>
      <c r="H15" s="171" t="s">
        <v>71</v>
      </c>
      <c r="J15" s="34" t="s">
        <v>135</v>
      </c>
    </row>
    <row r="16" spans="1:10" x14ac:dyDescent="0.15">
      <c r="B16" s="19">
        <f>TRUNC(VLOOKUP("○",D13:E18,2,0))</f>
        <v>0</v>
      </c>
      <c r="D16" s="168" t="str">
        <f t="shared" si="1"/>
        <v>×</v>
      </c>
      <c r="E16" s="35" t="str">
        <f>IF(AND(B13&gt;=4100000,B13&lt;7700000),(B13*0.85)-685000,"×")</f>
        <v>×</v>
      </c>
      <c r="F16" s="169" t="s">
        <v>75</v>
      </c>
      <c r="G16" s="170" t="s">
        <v>69</v>
      </c>
      <c r="H16" s="171" t="s">
        <v>72</v>
      </c>
      <c r="J16" s="34" t="s">
        <v>136</v>
      </c>
    </row>
    <row r="17" spans="1:11" x14ac:dyDescent="0.15">
      <c r="D17" s="168" t="str">
        <f t="shared" si="1"/>
        <v>×</v>
      </c>
      <c r="E17" s="35" t="str">
        <f>IF(AND(B13&gt;=7700000,B13&lt;10000000),(B13*0.95)-1455000,"×")</f>
        <v>×</v>
      </c>
      <c r="F17" s="176" t="s">
        <v>76</v>
      </c>
      <c r="G17" s="177" t="s">
        <v>69</v>
      </c>
      <c r="H17" s="171" t="s">
        <v>114</v>
      </c>
      <c r="J17" s="34" t="s">
        <v>137</v>
      </c>
    </row>
    <row r="18" spans="1:11" x14ac:dyDescent="0.15">
      <c r="D18" s="168" t="str">
        <f t="shared" si="1"/>
        <v>×</v>
      </c>
      <c r="E18" s="35" t="str">
        <f>IF(B13&gt;=10000000,B13-1955000,"×")</f>
        <v>×</v>
      </c>
      <c r="F18" s="169" t="s">
        <v>115</v>
      </c>
      <c r="G18" s="170" t="s">
        <v>69</v>
      </c>
      <c r="H18" s="171"/>
      <c r="J18" s="34" t="s">
        <v>138</v>
      </c>
    </row>
    <row r="19" spans="1:11" x14ac:dyDescent="0.15">
      <c r="D19" s="178"/>
      <c r="E19" s="28"/>
      <c r="F19" s="173"/>
      <c r="G19" s="167"/>
      <c r="H19" s="173"/>
    </row>
    <row r="20" spans="1:11" x14ac:dyDescent="0.15">
      <c r="A20" s="174" t="s">
        <v>204</v>
      </c>
      <c r="D20" s="178"/>
      <c r="E20" s="28"/>
      <c r="F20" s="173"/>
      <c r="G20" s="167"/>
      <c r="H20" s="173"/>
    </row>
    <row r="21" spans="1:11" ht="14.25" thickBot="1" x14ac:dyDescent="0.2">
      <c r="B21" s="19" t="s">
        <v>44</v>
      </c>
      <c r="D21" s="167"/>
      <c r="E21" s="28"/>
      <c r="F21" s="295" t="s">
        <v>79</v>
      </c>
      <c r="G21" s="295"/>
      <c r="H21" s="295"/>
      <c r="J21" s="34" t="s">
        <v>132</v>
      </c>
    </row>
    <row r="22" spans="1:11" ht="14.25" thickBot="1" x14ac:dyDescent="0.2">
      <c r="B22" s="80"/>
      <c r="D22" s="168" t="str">
        <f t="shared" ref="D22:D27" si="2">IF(E22="×","×","○")</f>
        <v>○</v>
      </c>
      <c r="E22" s="35">
        <f>IF(B22&lt;600000,0,"×")</f>
        <v>0</v>
      </c>
      <c r="F22" s="169" t="s">
        <v>64</v>
      </c>
      <c r="G22" s="170" t="s">
        <v>69</v>
      </c>
      <c r="H22" s="171" t="s">
        <v>112</v>
      </c>
      <c r="J22" s="34" t="s">
        <v>134</v>
      </c>
    </row>
    <row r="23" spans="1:11" x14ac:dyDescent="0.15">
      <c r="D23" s="168" t="str">
        <f t="shared" si="2"/>
        <v>×</v>
      </c>
      <c r="E23" s="35" t="str">
        <f>IF(AND(B22&gt;=600000,B22&lt;1300000),B22-600000,"×")</f>
        <v>×</v>
      </c>
      <c r="F23" s="169" t="s">
        <v>113</v>
      </c>
      <c r="G23" s="170" t="s">
        <v>69</v>
      </c>
      <c r="H23" s="171" t="s">
        <v>73</v>
      </c>
      <c r="J23" s="34" t="s">
        <v>139</v>
      </c>
    </row>
    <row r="24" spans="1:11" x14ac:dyDescent="0.15">
      <c r="B24" s="19" t="s">
        <v>45</v>
      </c>
      <c r="D24" s="168" t="str">
        <f t="shared" si="2"/>
        <v>×</v>
      </c>
      <c r="E24" s="35" t="str">
        <f>IF(AND(B22&gt;=1300000,B22&lt;4100000),(B22*0.75)-275000,"×")</f>
        <v>×</v>
      </c>
      <c r="F24" s="169" t="s">
        <v>77</v>
      </c>
      <c r="G24" s="170" t="s">
        <v>69</v>
      </c>
      <c r="H24" s="171" t="s">
        <v>71</v>
      </c>
      <c r="J24" s="34" t="s">
        <v>135</v>
      </c>
    </row>
    <row r="25" spans="1:11" x14ac:dyDescent="0.15">
      <c r="B25" s="19">
        <f>TRUNC(VLOOKUP("○",D22:E27,2,0))</f>
        <v>0</v>
      </c>
      <c r="D25" s="168" t="str">
        <f t="shared" si="2"/>
        <v>×</v>
      </c>
      <c r="E25" s="35" t="str">
        <f>IF(AND(B22&gt;=4100000,B22&lt;7700000),(B22*0.85)-685000,"×")</f>
        <v>×</v>
      </c>
      <c r="F25" s="169" t="s">
        <v>75</v>
      </c>
      <c r="G25" s="170" t="s">
        <v>69</v>
      </c>
      <c r="H25" s="171" t="s">
        <v>72</v>
      </c>
      <c r="J25" s="34" t="s">
        <v>136</v>
      </c>
    </row>
    <row r="26" spans="1:11" x14ac:dyDescent="0.15">
      <c r="D26" s="168" t="str">
        <f t="shared" si="2"/>
        <v>×</v>
      </c>
      <c r="E26" s="35" t="str">
        <f>IF(AND(B22&gt;=7700000,B22&lt;10000000),(B22*0.95)-1455000,"×")</f>
        <v>×</v>
      </c>
      <c r="F26" s="169" t="s">
        <v>76</v>
      </c>
      <c r="G26" s="170" t="s">
        <v>69</v>
      </c>
      <c r="H26" s="171" t="s">
        <v>114</v>
      </c>
      <c r="J26" s="34" t="s">
        <v>137</v>
      </c>
    </row>
    <row r="27" spans="1:11" x14ac:dyDescent="0.15">
      <c r="D27" s="168" t="str">
        <f t="shared" si="2"/>
        <v>×</v>
      </c>
      <c r="E27" s="35" t="str">
        <f>IF(B22&gt;=10000000,B22-1955000,"×")</f>
        <v>×</v>
      </c>
      <c r="F27" s="169" t="s">
        <v>115</v>
      </c>
      <c r="G27" s="170" t="s">
        <v>69</v>
      </c>
      <c r="H27" s="171"/>
      <c r="J27" s="34" t="s">
        <v>138</v>
      </c>
    </row>
    <row r="28" spans="1:11" x14ac:dyDescent="0.15">
      <c r="D28" s="178"/>
      <c r="E28" s="163"/>
    </row>
    <row r="29" spans="1:11" x14ac:dyDescent="0.15">
      <c r="D29" s="178"/>
      <c r="E29" s="163"/>
    </row>
    <row r="30" spans="1:11" x14ac:dyDescent="0.15">
      <c r="A30" s="174" t="s">
        <v>205</v>
      </c>
      <c r="D30" s="19"/>
      <c r="E30" s="163"/>
    </row>
    <row r="31" spans="1:11" ht="14.25" thickBot="1" x14ac:dyDescent="0.2">
      <c r="B31" s="19" t="s">
        <v>44</v>
      </c>
      <c r="E31" s="163"/>
    </row>
    <row r="32" spans="1:11" ht="14.25" thickBot="1" x14ac:dyDescent="0.2">
      <c r="B32" s="80"/>
      <c r="D32" s="167"/>
      <c r="E32" s="28"/>
      <c r="F32" s="295" t="s">
        <v>79</v>
      </c>
      <c r="G32" s="295"/>
      <c r="H32" s="295"/>
      <c r="J32" s="34" t="s">
        <v>132</v>
      </c>
      <c r="K32" s="19"/>
    </row>
    <row r="33" spans="1:10" x14ac:dyDescent="0.15">
      <c r="D33" s="168" t="str">
        <f t="shared" ref="D33:D38" si="3">IF(E33="×","×","○")</f>
        <v>○</v>
      </c>
      <c r="E33" s="35">
        <f>IF(B32&lt;1000000,0,"×")</f>
        <v>0</v>
      </c>
      <c r="F33" s="169" t="s">
        <v>64</v>
      </c>
      <c r="G33" s="170" t="s">
        <v>69</v>
      </c>
      <c r="H33" s="171" t="s">
        <v>124</v>
      </c>
      <c r="J33" s="34" t="s">
        <v>134</v>
      </c>
    </row>
    <row r="34" spans="1:10" x14ac:dyDescent="0.15">
      <c r="B34" s="19" t="s">
        <v>45</v>
      </c>
      <c r="D34" s="168" t="str">
        <f t="shared" si="3"/>
        <v>×</v>
      </c>
      <c r="E34" s="35" t="str">
        <f>IF(AND(B32&gt;=1000000,B32&lt;3300000),B32-1000000,"×")</f>
        <v>×</v>
      </c>
      <c r="F34" s="169" t="s">
        <v>125</v>
      </c>
      <c r="G34" s="170" t="s">
        <v>69</v>
      </c>
      <c r="H34" s="171" t="s">
        <v>70</v>
      </c>
      <c r="J34" s="34" t="s">
        <v>151</v>
      </c>
    </row>
    <row r="35" spans="1:10" x14ac:dyDescent="0.15">
      <c r="B35" s="19">
        <f>TRUNC(VLOOKUP("○",D33:E38,2,0))</f>
        <v>0</v>
      </c>
      <c r="D35" s="168" t="str">
        <f t="shared" si="3"/>
        <v>×</v>
      </c>
      <c r="E35" s="35" t="str">
        <f>IF(AND(B32&gt;=3300000,B32&lt;4100000),(B32*0.75)-175000,"×")</f>
        <v>×</v>
      </c>
      <c r="F35" s="169" t="s">
        <v>74</v>
      </c>
      <c r="G35" s="170" t="s">
        <v>69</v>
      </c>
      <c r="H35" s="171" t="s">
        <v>71</v>
      </c>
      <c r="J35" s="34" t="s">
        <v>141</v>
      </c>
    </row>
    <row r="36" spans="1:10" x14ac:dyDescent="0.15">
      <c r="D36" s="168" t="str">
        <f t="shared" si="3"/>
        <v>×</v>
      </c>
      <c r="E36" s="35" t="str">
        <f>IF(AND(B32&gt;=4100000,B32&lt;7700000),(B32*0.85)-585000,"×")</f>
        <v>×</v>
      </c>
      <c r="F36" s="169" t="s">
        <v>75</v>
      </c>
      <c r="G36" s="170" t="s">
        <v>69</v>
      </c>
      <c r="H36" s="171" t="s">
        <v>72</v>
      </c>
      <c r="J36" s="34" t="s">
        <v>142</v>
      </c>
    </row>
    <row r="37" spans="1:10" x14ac:dyDescent="0.15">
      <c r="D37" s="168" t="str">
        <f t="shared" si="3"/>
        <v>×</v>
      </c>
      <c r="E37" s="35" t="str">
        <f>IF(AND(B32&gt;=7700000,B32&lt;10000000),(B32*0.95)-1355000,"×")</f>
        <v>×</v>
      </c>
      <c r="F37" s="176" t="s">
        <v>76</v>
      </c>
      <c r="G37" s="177" t="s">
        <v>69</v>
      </c>
      <c r="H37" s="171" t="s">
        <v>114</v>
      </c>
      <c r="J37" s="34" t="s">
        <v>143</v>
      </c>
    </row>
    <row r="38" spans="1:10" x14ac:dyDescent="0.15">
      <c r="D38" s="168" t="str">
        <f t="shared" si="3"/>
        <v>×</v>
      </c>
      <c r="E38" s="35" t="str">
        <f>IF(B32&gt;=10000000,B32-1855000,"×")</f>
        <v>×</v>
      </c>
      <c r="F38" s="169" t="s">
        <v>115</v>
      </c>
      <c r="G38" s="170" t="s">
        <v>69</v>
      </c>
      <c r="H38" s="171"/>
      <c r="J38" s="34" t="s">
        <v>144</v>
      </c>
    </row>
    <row r="39" spans="1:10" x14ac:dyDescent="0.15">
      <c r="D39" s="178"/>
      <c r="E39" s="34"/>
      <c r="F39" s="34"/>
      <c r="G39" s="34"/>
      <c r="H39" s="34"/>
    </row>
    <row r="40" spans="1:10" x14ac:dyDescent="0.15">
      <c r="A40" s="179" t="s">
        <v>206</v>
      </c>
      <c r="D40" s="178"/>
      <c r="E40" s="34"/>
      <c r="F40" s="34"/>
      <c r="G40" s="34"/>
      <c r="H40" s="34"/>
    </row>
    <row r="41" spans="1:10" ht="14.25" thickBot="1" x14ac:dyDescent="0.2">
      <c r="B41" s="19" t="s">
        <v>44</v>
      </c>
      <c r="D41" s="167"/>
      <c r="E41" s="28"/>
      <c r="F41" s="295" t="s">
        <v>79</v>
      </c>
      <c r="G41" s="295"/>
      <c r="H41" s="295"/>
      <c r="J41" s="34" t="s">
        <v>132</v>
      </c>
    </row>
    <row r="42" spans="1:10" ht="14.25" thickBot="1" x14ac:dyDescent="0.2">
      <c r="B42" s="80"/>
      <c r="D42" s="168" t="str">
        <f t="shared" ref="D42:D47" si="4">IF(E42="×","×","○")</f>
        <v>○</v>
      </c>
      <c r="E42" s="35">
        <f>IF(B42&lt;500000,0,"×")</f>
        <v>0</v>
      </c>
      <c r="F42" s="169" t="s">
        <v>64</v>
      </c>
      <c r="G42" s="170" t="s">
        <v>69</v>
      </c>
      <c r="H42" s="171" t="s">
        <v>123</v>
      </c>
      <c r="J42" s="34" t="s">
        <v>134</v>
      </c>
    </row>
    <row r="43" spans="1:10" x14ac:dyDescent="0.15">
      <c r="B43" s="19" t="s">
        <v>45</v>
      </c>
      <c r="D43" s="168" t="str">
        <f t="shared" si="4"/>
        <v>×</v>
      </c>
      <c r="E43" s="35" t="str">
        <f>IF(AND(B42&gt;=500000,B42&lt;1300000),B42-500000,"×")</f>
        <v>×</v>
      </c>
      <c r="F43" s="169" t="s">
        <v>122</v>
      </c>
      <c r="G43" s="170" t="s">
        <v>69</v>
      </c>
      <c r="H43" s="171" t="s">
        <v>73</v>
      </c>
      <c r="J43" s="34" t="s">
        <v>140</v>
      </c>
    </row>
    <row r="44" spans="1:10" x14ac:dyDescent="0.15">
      <c r="B44" s="19">
        <f>TRUNC(VLOOKUP("○",D42:E47,2,0))</f>
        <v>0</v>
      </c>
      <c r="D44" s="168" t="str">
        <f t="shared" si="4"/>
        <v>×</v>
      </c>
      <c r="E44" s="35" t="str">
        <f>IF(AND(B42&gt;=1300000,B42&lt;4100000),(B42*0.75)-175000,"×")</f>
        <v>×</v>
      </c>
      <c r="F44" s="169" t="s">
        <v>77</v>
      </c>
      <c r="G44" s="170" t="s">
        <v>69</v>
      </c>
      <c r="H44" s="171" t="s">
        <v>71</v>
      </c>
      <c r="J44" s="34" t="s">
        <v>141</v>
      </c>
    </row>
    <row r="45" spans="1:10" x14ac:dyDescent="0.15">
      <c r="D45" s="168" t="str">
        <f t="shared" si="4"/>
        <v>×</v>
      </c>
      <c r="E45" s="35" t="str">
        <f>IF(AND(B42&gt;=4100000,B42&lt;7700000),(B42*0.85)-585000,"×")</f>
        <v>×</v>
      </c>
      <c r="F45" s="169" t="s">
        <v>75</v>
      </c>
      <c r="G45" s="170" t="s">
        <v>69</v>
      </c>
      <c r="H45" s="171" t="s">
        <v>72</v>
      </c>
      <c r="J45" s="34" t="s">
        <v>142</v>
      </c>
    </row>
    <row r="46" spans="1:10" x14ac:dyDescent="0.15">
      <c r="D46" s="168" t="str">
        <f t="shared" si="4"/>
        <v>×</v>
      </c>
      <c r="E46" s="35" t="str">
        <f>IF(AND(B42&gt;=7700000,B42&lt;10000000),(B42*0.95)-1355000,"×")</f>
        <v>×</v>
      </c>
      <c r="F46" s="169" t="s">
        <v>76</v>
      </c>
      <c r="G46" s="170" t="s">
        <v>69</v>
      </c>
      <c r="H46" s="171" t="s">
        <v>114</v>
      </c>
      <c r="J46" s="34" t="s">
        <v>143</v>
      </c>
    </row>
    <row r="47" spans="1:10" x14ac:dyDescent="0.15">
      <c r="D47" s="168" t="str">
        <f t="shared" si="4"/>
        <v>×</v>
      </c>
      <c r="E47" s="35" t="str">
        <f>IF(B42&gt;=10000000,B42-1855000,"×")</f>
        <v>×</v>
      </c>
      <c r="F47" s="169" t="s">
        <v>115</v>
      </c>
      <c r="G47" s="170" t="s">
        <v>69</v>
      </c>
      <c r="H47" s="171"/>
      <c r="J47" s="34" t="s">
        <v>144</v>
      </c>
    </row>
    <row r="48" spans="1:10" x14ac:dyDescent="0.15">
      <c r="D48" s="178"/>
      <c r="E48" s="28"/>
      <c r="F48" s="173"/>
      <c r="G48" s="167"/>
      <c r="H48" s="173"/>
    </row>
    <row r="49" spans="1:10" x14ac:dyDescent="0.15">
      <c r="D49" s="178"/>
      <c r="E49" s="28"/>
      <c r="F49" s="173"/>
      <c r="G49" s="167"/>
      <c r="H49" s="173"/>
    </row>
    <row r="50" spans="1:10" x14ac:dyDescent="0.15">
      <c r="A50" s="178" t="s">
        <v>207</v>
      </c>
      <c r="D50" s="178"/>
      <c r="E50" s="28"/>
      <c r="F50" s="173"/>
      <c r="G50" s="167"/>
      <c r="H50" s="173"/>
    </row>
    <row r="51" spans="1:10" ht="14.25" thickBot="1" x14ac:dyDescent="0.2">
      <c r="B51" s="19" t="s">
        <v>44</v>
      </c>
      <c r="D51" s="167"/>
      <c r="E51" s="28"/>
      <c r="F51" s="173"/>
      <c r="G51" s="167"/>
      <c r="H51" s="173"/>
    </row>
    <row r="52" spans="1:10" ht="14.25" thickBot="1" x14ac:dyDescent="0.2">
      <c r="B52" s="80"/>
      <c r="D52" s="167"/>
      <c r="E52" s="28"/>
      <c r="F52" s="295" t="s">
        <v>79</v>
      </c>
      <c r="G52" s="295"/>
      <c r="H52" s="295"/>
      <c r="J52" s="34" t="s">
        <v>132</v>
      </c>
    </row>
    <row r="53" spans="1:10" x14ac:dyDescent="0.15">
      <c r="D53" s="168" t="str">
        <f t="shared" ref="D53:D58" si="5">IF(E53="×","×","○")</f>
        <v>○</v>
      </c>
      <c r="E53" s="35">
        <f>IF(B52&lt;900000,0,"×")</f>
        <v>0</v>
      </c>
      <c r="F53" s="169" t="s">
        <v>64</v>
      </c>
      <c r="G53" s="170" t="s">
        <v>69</v>
      </c>
      <c r="H53" s="171" t="s">
        <v>128</v>
      </c>
      <c r="J53" s="34" t="s">
        <v>134</v>
      </c>
    </row>
    <row r="54" spans="1:10" x14ac:dyDescent="0.15">
      <c r="B54" s="19" t="s">
        <v>45</v>
      </c>
      <c r="D54" s="168" t="str">
        <f t="shared" si="5"/>
        <v>×</v>
      </c>
      <c r="E54" s="35" t="str">
        <f>IF(AND(B52&gt;=900000,B52&lt;3300000),B52-900000,"×")</f>
        <v>×</v>
      </c>
      <c r="F54" s="169" t="s">
        <v>129</v>
      </c>
      <c r="G54" s="170" t="s">
        <v>69</v>
      </c>
      <c r="H54" s="171" t="s">
        <v>70</v>
      </c>
      <c r="J54" s="34" t="s">
        <v>150</v>
      </c>
    </row>
    <row r="55" spans="1:10" x14ac:dyDescent="0.15">
      <c r="B55" s="19">
        <f>TRUNC(VLOOKUP("○",D53:E58,2,0))</f>
        <v>0</v>
      </c>
      <c r="D55" s="168" t="str">
        <f t="shared" si="5"/>
        <v>×</v>
      </c>
      <c r="E55" s="35" t="str">
        <f>IF(AND(B52&gt;=3300000,B52&lt;4100000),(B52*0.75)-75000,"×")</f>
        <v>×</v>
      </c>
      <c r="F55" s="169" t="s">
        <v>74</v>
      </c>
      <c r="G55" s="170" t="s">
        <v>69</v>
      </c>
      <c r="H55" s="171" t="s">
        <v>71</v>
      </c>
      <c r="J55" s="34" t="s">
        <v>146</v>
      </c>
    </row>
    <row r="56" spans="1:10" x14ac:dyDescent="0.15">
      <c r="D56" s="180" t="str">
        <f t="shared" si="5"/>
        <v>×</v>
      </c>
      <c r="E56" s="36" t="str">
        <f>IF(AND(B52&gt;=4100000,B52&lt;7700000),(B52*0.85)-485000,"×")</f>
        <v>×</v>
      </c>
      <c r="F56" s="169" t="s">
        <v>75</v>
      </c>
      <c r="G56" s="170" t="s">
        <v>69</v>
      </c>
      <c r="H56" s="171" t="s">
        <v>72</v>
      </c>
      <c r="J56" s="34" t="s">
        <v>147</v>
      </c>
    </row>
    <row r="57" spans="1:10" x14ac:dyDescent="0.15">
      <c r="D57" s="180" t="str">
        <f t="shared" si="5"/>
        <v>×</v>
      </c>
      <c r="E57" s="36" t="str">
        <f>IF(AND(B52&gt;=7700000,B52&lt;10000000),(B52*0.95)-1255000,"×")</f>
        <v>×</v>
      </c>
      <c r="F57" s="176" t="s">
        <v>76</v>
      </c>
      <c r="G57" s="177" t="s">
        <v>69</v>
      </c>
      <c r="H57" s="171" t="s">
        <v>114</v>
      </c>
      <c r="J57" s="34" t="s">
        <v>148</v>
      </c>
    </row>
    <row r="58" spans="1:10" x14ac:dyDescent="0.15">
      <c r="D58" s="180" t="str">
        <f t="shared" si="5"/>
        <v>×</v>
      </c>
      <c r="E58" s="36" t="str">
        <f>IF(B52&gt;=10000000,B52-1755000,"×")</f>
        <v>×</v>
      </c>
      <c r="F58" s="169" t="s">
        <v>115</v>
      </c>
      <c r="G58" s="170" t="s">
        <v>69</v>
      </c>
      <c r="H58" s="171"/>
      <c r="J58" s="34" t="s">
        <v>149</v>
      </c>
    </row>
    <row r="59" spans="1:10" x14ac:dyDescent="0.15">
      <c r="D59" s="178"/>
      <c r="E59" s="37"/>
      <c r="F59" s="173"/>
      <c r="G59" s="167"/>
      <c r="H59" s="172"/>
    </row>
    <row r="60" spans="1:10" x14ac:dyDescent="0.15">
      <c r="A60" s="178" t="s">
        <v>208</v>
      </c>
      <c r="D60" s="19"/>
      <c r="E60" s="19"/>
      <c r="F60" s="19"/>
      <c r="G60" s="19"/>
      <c r="H60" s="19"/>
    </row>
    <row r="61" spans="1:10" ht="14.25" thickBot="1" x14ac:dyDescent="0.2">
      <c r="B61" s="19" t="s">
        <v>44</v>
      </c>
      <c r="D61" s="167"/>
      <c r="E61" s="28"/>
      <c r="F61" s="295" t="s">
        <v>79</v>
      </c>
      <c r="G61" s="295"/>
      <c r="H61" s="295"/>
      <c r="J61" s="34" t="s">
        <v>132</v>
      </c>
    </row>
    <row r="62" spans="1:10" ht="14.25" thickBot="1" x14ac:dyDescent="0.2">
      <c r="B62" s="80"/>
      <c r="D62" s="168" t="str">
        <f>IF(E62="×","×","○")</f>
        <v>○</v>
      </c>
      <c r="E62" s="35">
        <f>IF(B62&lt;400000,0,"×")</f>
        <v>0</v>
      </c>
      <c r="F62" s="169" t="s">
        <v>64</v>
      </c>
      <c r="G62" s="170" t="s">
        <v>69</v>
      </c>
      <c r="H62" s="171" t="s">
        <v>126</v>
      </c>
      <c r="J62" s="34" t="s">
        <v>134</v>
      </c>
    </row>
    <row r="63" spans="1:10" x14ac:dyDescent="0.15">
      <c r="D63" s="168" t="str">
        <f>IF(E63="×","×","○")</f>
        <v>×</v>
      </c>
      <c r="E63" s="35" t="str">
        <f>IF(AND(B62&gt;=400000,B62&lt;1300000),B62-400000,"×")</f>
        <v>×</v>
      </c>
      <c r="F63" s="169" t="s">
        <v>127</v>
      </c>
      <c r="G63" s="170" t="s">
        <v>69</v>
      </c>
      <c r="H63" s="171" t="s">
        <v>73</v>
      </c>
      <c r="J63" s="34" t="s">
        <v>145</v>
      </c>
    </row>
    <row r="64" spans="1:10" x14ac:dyDescent="0.15">
      <c r="B64" s="19" t="s">
        <v>45</v>
      </c>
      <c r="D64" s="168" t="str">
        <f>IF(E64="×","×","○")</f>
        <v>×</v>
      </c>
      <c r="E64" s="35" t="str">
        <f>IF(AND(B62&gt;=1300000,B62&lt;4100000),(B62*0.75)-75000,"×")</f>
        <v>×</v>
      </c>
      <c r="F64" s="169" t="s">
        <v>77</v>
      </c>
      <c r="G64" s="170" t="s">
        <v>69</v>
      </c>
      <c r="H64" s="171" t="s">
        <v>71</v>
      </c>
      <c r="J64" s="34" t="s">
        <v>146</v>
      </c>
    </row>
    <row r="65" spans="2:10" x14ac:dyDescent="0.15">
      <c r="B65" s="19">
        <f>TRUNC(VLOOKUP("○",D62:E67,2,0))</f>
        <v>0</v>
      </c>
      <c r="D65" s="168" t="str">
        <f t="shared" ref="D65" si="6">IF(E65="×","×","○")</f>
        <v>×</v>
      </c>
      <c r="E65" s="35" t="str">
        <f>IF(AND(B62&gt;=4100000,B62&lt;7700000),(B62*0.85)-485000,"×")</f>
        <v>×</v>
      </c>
      <c r="F65" s="169" t="s">
        <v>75</v>
      </c>
      <c r="G65" s="170" t="s">
        <v>69</v>
      </c>
      <c r="H65" s="171" t="s">
        <v>72</v>
      </c>
      <c r="J65" s="34" t="s">
        <v>147</v>
      </c>
    </row>
    <row r="66" spans="2:10" x14ac:dyDescent="0.15">
      <c r="D66" s="168" t="str">
        <f>IF(E66="×","×","○")</f>
        <v>×</v>
      </c>
      <c r="E66" s="35" t="str">
        <f>IF(AND(B62&gt;=7700000,B62&lt;10000000),(B62*0.95)-1255000,"×")</f>
        <v>×</v>
      </c>
      <c r="F66" s="169" t="s">
        <v>76</v>
      </c>
      <c r="G66" s="170" t="s">
        <v>69</v>
      </c>
      <c r="H66" s="171" t="s">
        <v>114</v>
      </c>
      <c r="J66" s="34" t="s">
        <v>148</v>
      </c>
    </row>
    <row r="67" spans="2:10" x14ac:dyDescent="0.15">
      <c r="D67" s="168" t="str">
        <f>IF(E67="×","×","○")</f>
        <v>×</v>
      </c>
      <c r="E67" s="35" t="str">
        <f>IF(B62&gt;=10000000,B62-1755000,"×")</f>
        <v>×</v>
      </c>
      <c r="F67" s="169" t="s">
        <v>115</v>
      </c>
      <c r="G67" s="170" t="s">
        <v>69</v>
      </c>
      <c r="H67" s="171"/>
      <c r="J67" s="34" t="s">
        <v>149</v>
      </c>
    </row>
    <row r="68" spans="2:10" x14ac:dyDescent="0.15">
      <c r="D68" s="178"/>
      <c r="E68" s="163"/>
    </row>
  </sheetData>
  <sheetProtection algorithmName="SHA-512" hashValue="7Jhb/4Rl89kvtPY2QBnTd8qv7jLRfweHzgQWuPJFzeQPVINYK96HIaRbsCspqtH9AhL2XYmh63DWeRfdVAM5+w==" saltValue="x8factxhSJ+btjBqDIJdSg==" spinCount="100000" sheet="1"/>
  <mergeCells count="7">
    <mergeCell ref="F61:H61"/>
    <mergeCell ref="F2:H2"/>
    <mergeCell ref="F12:H12"/>
    <mergeCell ref="F21:H21"/>
    <mergeCell ref="F32:H32"/>
    <mergeCell ref="F41:H41"/>
    <mergeCell ref="F52:H52"/>
  </mergeCells>
  <phoneticPr fontId="1"/>
  <pageMargins left="0.75" right="0.75" top="1" bottom="1" header="0.51200000000000001" footer="0.51200000000000001"/>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試算2026</vt:lpstr>
      <vt:lpstr>収入→所得2026</vt:lpstr>
      <vt:lpstr>試算2026!Print_Area</vt:lpstr>
      <vt:lpstr>収入→所得2026!Print_Area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2026-03-23T02:25:59Z</cp:lastPrinted>
  <dcterms:created xsi:type="dcterms:W3CDTF">2013-02-06T04:19:54Z</dcterms:created>
  <dcterms:modified xsi:type="dcterms:W3CDTF">2026-04-09T03:47:02Z</dcterms:modified>
</cp:coreProperties>
</file>